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5" yWindow="975" windowWidth="13110" windowHeight="10980" tabRatio="953"/>
  </bookViews>
  <sheets>
    <sheet name="Tabellenverzeichnis" sheetId="90" r:id="rId1"/>
    <sheet name="Kennzahlen" sheetId="96" r:id="rId2"/>
    <sheet name="1" sheetId="1" r:id="rId3"/>
    <sheet name="Steuerarten" sheetId="95" r:id="rId4"/>
    <sheet name="2.1.1" sheetId="2" r:id="rId5"/>
    <sheet name="2.1.3" sheetId="30" r:id="rId6"/>
    <sheet name="2.2.1" sheetId="75" r:id="rId7"/>
    <sheet name="2.2.3" sheetId="32" r:id="rId8"/>
    <sheet name="2.2.5" sheetId="31" r:id="rId9"/>
    <sheet name="2.2.6" sheetId="49" r:id="rId10"/>
    <sheet name="2.2.7" sheetId="52" r:id="rId11"/>
    <sheet name="2.4.1" sheetId="7" r:id="rId12"/>
    <sheet name="2.4.3" sheetId="10" r:id="rId13"/>
    <sheet name="2.5.1" sheetId="11" r:id="rId14"/>
    <sheet name="2.6.1" sheetId="9" r:id="rId15"/>
    <sheet name="2.9.1" sheetId="14" r:id="rId16"/>
    <sheet name="2.9.3" sheetId="36" r:id="rId17"/>
    <sheet name="2.10.1" sheetId="13" r:id="rId18"/>
    <sheet name="2.11.1" sheetId="12" r:id="rId19"/>
    <sheet name="2.11.3" sheetId="40" r:id="rId20"/>
    <sheet name="2.13.1" sheetId="19" r:id="rId21"/>
    <sheet name="2.14.1" sheetId="18" r:id="rId22"/>
    <sheet name="Struktur" sheetId="97" r:id="rId23"/>
    <sheet name="3.1.1" sheetId="17" r:id="rId24"/>
    <sheet name="3.2.1" sheetId="21" r:id="rId25"/>
    <sheet name="3.2.3" sheetId="22" r:id="rId26"/>
    <sheet name="3.2.3 E" sheetId="38" r:id="rId27"/>
    <sheet name="3.3.1" sheetId="23" r:id="rId28"/>
    <sheet name="3.3.1 E" sheetId="39" r:id="rId29"/>
    <sheet name="Steuerbelastung NP" sheetId="98" r:id="rId30"/>
    <sheet name="4.1" sheetId="91" r:id="rId31"/>
    <sheet name="4.2" sheetId="92" r:id="rId32"/>
    <sheet name="4.3" sheetId="93" r:id="rId33"/>
    <sheet name="4.4" sheetId="94" r:id="rId34"/>
    <sheet name="Steuerbelastung JP" sheetId="99" r:id="rId35"/>
    <sheet name="5.1" sheetId="45" r:id="rId36"/>
    <sheet name="5.2" sheetId="46" r:id="rId37"/>
    <sheet name="Verteilung" sheetId="100" r:id="rId38"/>
    <sheet name="6.1.1" sheetId="53" r:id="rId39"/>
    <sheet name="6.1.2" sheetId="54" r:id="rId40"/>
    <sheet name="6.2.1" sheetId="55" r:id="rId41"/>
    <sheet name="6.2.2" sheetId="56" r:id="rId42"/>
    <sheet name="6.2.3" sheetId="57" r:id="rId43"/>
    <sheet name="6.2.4" sheetId="58" r:id="rId44"/>
    <sheet name="6.2.5" sheetId="83" r:id="rId45"/>
    <sheet name="6.2.6" sheetId="82" r:id="rId46"/>
    <sheet name="6.3.1" sheetId="59" r:id="rId47"/>
    <sheet name="6.3.2" sheetId="60" r:id="rId48"/>
    <sheet name="6.3.3" sheetId="61" r:id="rId49"/>
    <sheet name="6.3.4" sheetId="62" r:id="rId50"/>
    <sheet name="6.3.5" sheetId="85" r:id="rId51"/>
    <sheet name="6.3.6" sheetId="84" r:id="rId52"/>
    <sheet name="6.4.1" sheetId="63" r:id="rId53"/>
    <sheet name="6.4.2" sheetId="64" r:id="rId54"/>
    <sheet name="6.4.3" sheetId="65" r:id="rId55"/>
    <sheet name="6.4.4" sheetId="66" r:id="rId56"/>
    <sheet name="6.5.1" sheetId="67" r:id="rId57"/>
    <sheet name="6.5.2" sheetId="68" r:id="rId58"/>
    <sheet name="6.5.3" sheetId="69" r:id="rId59"/>
    <sheet name="6.5.4" sheetId="70" r:id="rId60"/>
    <sheet name="6.6.1" sheetId="87" r:id="rId61"/>
    <sheet name="6.6.2" sheetId="86" r:id="rId62"/>
    <sheet name="6.7.1" sheetId="80" r:id="rId63"/>
    <sheet name="6.7.2" sheetId="88" r:id="rId64"/>
    <sheet name="6.7.3" sheetId="81" r:id="rId65"/>
    <sheet name="6.7.4" sheetId="89" r:id="rId66"/>
    <sheet name="Zeitreihen" sheetId="101" r:id="rId67"/>
    <sheet name="7.1" sheetId="25" r:id="rId68"/>
    <sheet name="7.2" sheetId="26" r:id="rId69"/>
    <sheet name="7.3" sheetId="28" r:id="rId70"/>
    <sheet name="7.4" sheetId="27" r:id="rId71"/>
    <sheet name="7.5" sheetId="24" r:id="rId72"/>
    <sheet name="7.6" sheetId="37" r:id="rId73"/>
    <sheet name="7.10" sheetId="71" r:id="rId74"/>
    <sheet name="7.11" sheetId="72" r:id="rId75"/>
    <sheet name="7.12" sheetId="76" r:id="rId76"/>
    <sheet name="7.13" sheetId="77" r:id="rId77"/>
    <sheet name="7.15" sheetId="73" r:id="rId78"/>
    <sheet name="7.16" sheetId="74" r:id="rId79"/>
    <sheet name="7.17" sheetId="78" r:id="rId80"/>
    <sheet name="7.18" sheetId="79" r:id="rId81"/>
    <sheet name="Farbcodes" sheetId="50" r:id="rId82"/>
  </sheets>
  <calcPr calcId="145621"/>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C33" i="94" l="1"/>
  <c r="D33" i="94"/>
  <c r="E33" i="94"/>
  <c r="F33" i="94"/>
  <c r="G33" i="94"/>
  <c r="H33" i="94"/>
  <c r="B33" i="94"/>
  <c r="C33" i="93"/>
  <c r="D33" i="93"/>
  <c r="E33" i="93"/>
  <c r="F33" i="93"/>
  <c r="G33" i="93"/>
  <c r="H33" i="93"/>
  <c r="B33" i="93"/>
  <c r="B32" i="92"/>
  <c r="H33" i="92"/>
  <c r="G33" i="92"/>
  <c r="F33" i="92"/>
  <c r="E33" i="92"/>
  <c r="D33" i="92"/>
  <c r="C33" i="92"/>
  <c r="B33" i="92"/>
  <c r="D31" i="92"/>
  <c r="E31" i="92"/>
  <c r="F31" i="92"/>
  <c r="G31" i="92"/>
  <c r="H31" i="92"/>
  <c r="C31" i="92"/>
  <c r="B31" i="92"/>
  <c r="H33" i="91"/>
  <c r="G33" i="91"/>
  <c r="F33" i="91"/>
  <c r="E33" i="91"/>
  <c r="D33" i="91"/>
  <c r="C33" i="91"/>
  <c r="B33" i="91"/>
  <c r="B31" i="91"/>
  <c r="C31" i="91"/>
  <c r="D31" i="91"/>
  <c r="E31" i="91"/>
  <c r="F31" i="91"/>
  <c r="G31" i="91"/>
  <c r="H31" i="91"/>
  <c r="D28" i="18"/>
  <c r="G37" i="37"/>
  <c r="E37" i="37"/>
  <c r="F37" i="37"/>
  <c r="C37" i="37"/>
  <c r="E37" i="24"/>
  <c r="C37" i="24"/>
  <c r="G36" i="27"/>
  <c r="G36" i="28"/>
  <c r="E36" i="28"/>
  <c r="C36" i="28"/>
  <c r="G36" i="26"/>
  <c r="E36" i="26"/>
  <c r="C36" i="26"/>
  <c r="C30" i="25"/>
  <c r="C28" i="25"/>
  <c r="E28" i="25"/>
  <c r="D35" i="92"/>
  <c r="D36" i="92"/>
  <c r="E35" i="92"/>
  <c r="H35" i="92"/>
  <c r="H36" i="92"/>
  <c r="C32" i="92"/>
  <c r="C35" i="92"/>
  <c r="D32" i="92"/>
  <c r="E32" i="92"/>
  <c r="F32" i="92"/>
  <c r="F35" i="92"/>
  <c r="G32" i="92"/>
  <c r="G35" i="92"/>
  <c r="H32" i="92"/>
  <c r="B35" i="92"/>
  <c r="C29" i="92"/>
  <c r="D29" i="92"/>
  <c r="E29" i="92"/>
  <c r="F29" i="92"/>
  <c r="G29" i="92"/>
  <c r="H29" i="92"/>
  <c r="B29" i="92"/>
  <c r="C27" i="92"/>
  <c r="D27" i="92"/>
  <c r="E27" i="92"/>
  <c r="F27" i="92"/>
  <c r="G27" i="92"/>
  <c r="H27" i="92"/>
  <c r="B27" i="92"/>
  <c r="C32" i="91"/>
  <c r="C35" i="91"/>
  <c r="D32" i="91"/>
  <c r="D35" i="91"/>
  <c r="G32" i="91"/>
  <c r="G35" i="91"/>
  <c r="H32" i="91"/>
  <c r="H35" i="91"/>
  <c r="C29" i="91"/>
  <c r="D29" i="91"/>
  <c r="E29" i="91"/>
  <c r="E32" i="91"/>
  <c r="E35" i="91"/>
  <c r="G29" i="91"/>
  <c r="H29" i="91"/>
  <c r="B29" i="91"/>
  <c r="B32" i="91"/>
  <c r="B35" i="91"/>
  <c r="C27" i="91"/>
  <c r="D27" i="91"/>
  <c r="E27" i="91"/>
  <c r="F27" i="91"/>
  <c r="F29" i="91"/>
  <c r="F32" i="91"/>
  <c r="F35" i="91"/>
  <c r="G27" i="91"/>
  <c r="H27" i="91"/>
  <c r="B27" i="91"/>
  <c r="C7" i="94"/>
  <c r="B7" i="94"/>
  <c r="B8" i="94"/>
  <c r="D27" i="94"/>
  <c r="D29" i="94"/>
  <c r="E27" i="94"/>
  <c r="E29" i="94"/>
  <c r="F27" i="94"/>
  <c r="F29" i="94"/>
  <c r="G27" i="94"/>
  <c r="G29" i="94"/>
  <c r="H27" i="94"/>
  <c r="H29" i="94"/>
  <c r="C27" i="94"/>
  <c r="C29" i="94"/>
  <c r="C31" i="94"/>
  <c r="B27" i="94"/>
  <c r="B29" i="94"/>
  <c r="B31" i="94"/>
  <c r="H32" i="93"/>
  <c r="H35" i="93"/>
  <c r="H29" i="93"/>
  <c r="H31" i="93"/>
  <c r="H27" i="93"/>
  <c r="E29" i="93"/>
  <c r="E31" i="93"/>
  <c r="F29" i="93"/>
  <c r="F31" i="93"/>
  <c r="C27" i="93"/>
  <c r="C29" i="93"/>
  <c r="C31" i="93"/>
  <c r="D27" i="93"/>
  <c r="D29" i="93"/>
  <c r="D31" i="93"/>
  <c r="E27" i="93"/>
  <c r="F27" i="93"/>
  <c r="G27" i="93"/>
  <c r="G29" i="93"/>
  <c r="B27" i="93"/>
  <c r="B29" i="93"/>
  <c r="B31" i="93"/>
  <c r="D25" i="22"/>
  <c r="C18" i="18"/>
  <c r="E32" i="94"/>
  <c r="E35" i="94"/>
  <c r="E31" i="94"/>
  <c r="H31" i="94"/>
  <c r="H32" i="94"/>
  <c r="H35" i="94"/>
  <c r="H36" i="94"/>
  <c r="H37" i="94"/>
  <c r="H7" i="94"/>
  <c r="H8" i="94"/>
  <c r="D32" i="94"/>
  <c r="D35" i="94"/>
  <c r="D36" i="94"/>
  <c r="D37" i="94"/>
  <c r="D31" i="94"/>
  <c r="G31" i="94"/>
  <c r="G32" i="94"/>
  <c r="G35" i="94"/>
  <c r="G36" i="94"/>
  <c r="G37" i="94"/>
  <c r="G7" i="94"/>
  <c r="G8" i="94"/>
  <c r="F32" i="94"/>
  <c r="F35" i="94"/>
  <c r="F36" i="94"/>
  <c r="F37" i="94"/>
  <c r="F7" i="94"/>
  <c r="F8" i="94"/>
  <c r="F31" i="94"/>
  <c r="G31" i="93"/>
  <c r="G32" i="93"/>
  <c r="G35" i="93"/>
  <c r="G36" i="93"/>
  <c r="E32" i="93"/>
  <c r="E35" i="93"/>
  <c r="E36" i="93"/>
  <c r="E37" i="93"/>
  <c r="E7" i="93"/>
  <c r="E8" i="93"/>
  <c r="F32" i="93"/>
  <c r="F35" i="93"/>
  <c r="F36" i="93"/>
  <c r="F37" i="93"/>
  <c r="F7" i="93"/>
  <c r="F8" i="93"/>
  <c r="G36" i="92"/>
  <c r="G37" i="92"/>
  <c r="G7" i="92"/>
  <c r="G8" i="92"/>
  <c r="F36" i="92"/>
  <c r="F37" i="92"/>
  <c r="F7" i="92"/>
  <c r="F8" i="92"/>
  <c r="E37" i="92"/>
  <c r="E7" i="92"/>
  <c r="E8" i="92"/>
  <c r="H37" i="92"/>
  <c r="H7" i="92"/>
  <c r="H8" i="92"/>
  <c r="D37" i="92"/>
  <c r="D7" i="92"/>
  <c r="D8" i="92"/>
  <c r="E36" i="92"/>
  <c r="C36" i="92"/>
  <c r="C37" i="92"/>
  <c r="C7" i="92"/>
  <c r="C8" i="92"/>
  <c r="B36" i="92"/>
  <c r="B37" i="92"/>
  <c r="B7" i="92"/>
  <c r="B8" i="92"/>
  <c r="C36" i="91"/>
  <c r="C37" i="91"/>
  <c r="H36" i="91"/>
  <c r="H37" i="91"/>
  <c r="E36" i="91"/>
  <c r="E37" i="91"/>
  <c r="G36" i="91"/>
  <c r="G37" i="91"/>
  <c r="F37" i="91"/>
  <c r="F36" i="91"/>
  <c r="B36" i="91"/>
  <c r="B37" i="91"/>
  <c r="D36" i="91"/>
  <c r="D37" i="91"/>
  <c r="C8" i="94"/>
  <c r="E36" i="94"/>
  <c r="E37" i="94"/>
  <c r="H36" i="93"/>
  <c r="H37" i="93"/>
  <c r="D7" i="2"/>
  <c r="E7" i="94"/>
  <c r="E8" i="94"/>
  <c r="D7" i="94"/>
  <c r="D8" i="94"/>
  <c r="G37" i="93"/>
  <c r="G7" i="93"/>
  <c r="G8" i="93"/>
  <c r="H7" i="93"/>
  <c r="H8" i="93"/>
  <c r="C17" i="52"/>
  <c r="C11" i="52"/>
  <c r="C8" i="52"/>
  <c r="D22" i="32"/>
  <c r="B20" i="32"/>
  <c r="C20" i="32"/>
  <c r="C6" i="52"/>
  <c r="C16" i="75"/>
  <c r="D6" i="40"/>
  <c r="C12" i="36"/>
  <c r="D12" i="36" s="1"/>
  <c r="C13" i="36"/>
  <c r="C8" i="36"/>
  <c r="C20" i="14"/>
  <c r="B20" i="14"/>
  <c r="C7" i="18"/>
  <c r="C8" i="18"/>
  <c r="B7" i="18"/>
  <c r="C28" i="75"/>
  <c r="C26" i="2"/>
  <c r="C8" i="2"/>
  <c r="C6" i="18"/>
  <c r="A27" i="83"/>
  <c r="E39" i="37"/>
  <c r="G39" i="37"/>
  <c r="C39" i="37"/>
  <c r="E39" i="24"/>
  <c r="C39" i="24"/>
  <c r="G38" i="27"/>
  <c r="G38" i="28"/>
  <c r="E38" i="28"/>
  <c r="C38" i="28"/>
  <c r="G38" i="26"/>
  <c r="E38" i="26"/>
  <c r="C38" i="26"/>
  <c r="E30" i="25"/>
  <c r="C19" i="21"/>
  <c r="B19" i="21"/>
  <c r="C17" i="17"/>
  <c r="B17" i="17"/>
  <c r="B18" i="18"/>
  <c r="B8" i="18"/>
  <c r="B6" i="18"/>
  <c r="B20" i="19"/>
  <c r="B10" i="19"/>
  <c r="B17" i="40"/>
  <c r="B11" i="40"/>
  <c r="B6" i="40"/>
  <c r="B8" i="40"/>
  <c r="B22" i="12"/>
  <c r="B25" i="12"/>
  <c r="B19" i="12"/>
  <c r="B8" i="13"/>
  <c r="B12" i="13"/>
  <c r="B13" i="36"/>
  <c r="B12" i="36"/>
  <c r="B8" i="36"/>
  <c r="D8" i="36" s="1"/>
  <c r="B27" i="14"/>
  <c r="B22" i="14"/>
  <c r="B10" i="14"/>
  <c r="B8" i="9"/>
  <c r="B16" i="10"/>
  <c r="C25" i="7"/>
  <c r="B25" i="7"/>
  <c r="B8" i="7"/>
  <c r="B12" i="7"/>
  <c r="B17" i="52"/>
  <c r="B6" i="52"/>
  <c r="B11" i="52"/>
  <c r="B8" i="52"/>
  <c r="D14" i="49"/>
  <c r="C14" i="49"/>
  <c r="B14" i="49"/>
  <c r="B10" i="32"/>
  <c r="B28" i="75"/>
  <c r="B18" i="75"/>
  <c r="B17" i="75"/>
  <c r="B8" i="75"/>
  <c r="B10" i="75"/>
  <c r="B16" i="75"/>
  <c r="C24" i="2"/>
  <c r="B24" i="2"/>
  <c r="B26" i="2"/>
  <c r="B16" i="2"/>
  <c r="B15" i="2"/>
  <c r="B8" i="2"/>
  <c r="B14" i="2"/>
  <c r="E28" i="1"/>
  <c r="B29" i="1"/>
  <c r="B28" i="1"/>
  <c r="C26" i="1"/>
  <c r="D26" i="1"/>
  <c r="E26" i="1"/>
  <c r="F26" i="1"/>
  <c r="B26" i="1"/>
  <c r="F16" i="1"/>
  <c r="F31" i="1"/>
  <c r="E16" i="1"/>
  <c r="D16" i="1"/>
  <c r="C16" i="1"/>
  <c r="B16" i="1"/>
  <c r="B31" i="1"/>
  <c r="B32" i="1"/>
  <c r="B33" i="1"/>
  <c r="D10" i="30"/>
  <c r="D36" i="2"/>
  <c r="D34" i="2"/>
  <c r="D18" i="18"/>
  <c r="E31" i="1"/>
  <c r="B19" i="17"/>
  <c r="F36" i="37"/>
  <c r="C10" i="19"/>
  <c r="D10" i="19"/>
  <c r="C20" i="19"/>
  <c r="D22" i="19"/>
  <c r="C19" i="12"/>
  <c r="D19" i="12"/>
  <c r="C8" i="13"/>
  <c r="D8" i="13"/>
  <c r="C27" i="14"/>
  <c r="D22" i="14"/>
  <c r="C10" i="14"/>
  <c r="D10" i="14"/>
  <c r="D8" i="9"/>
  <c r="C16" i="10"/>
  <c r="D27" i="10"/>
  <c r="D37" i="7"/>
  <c r="C8" i="7"/>
  <c r="C12" i="7"/>
  <c r="D12" i="7"/>
  <c r="C17" i="75"/>
  <c r="D17" i="75"/>
  <c r="C18" i="75"/>
  <c r="D18" i="75"/>
  <c r="C8" i="75"/>
  <c r="C10" i="75"/>
  <c r="D33" i="75"/>
  <c r="C16" i="2"/>
  <c r="D16" i="2"/>
  <c r="C15" i="2"/>
  <c r="D15" i="2"/>
  <c r="C14" i="2"/>
  <c r="D14" i="2"/>
  <c r="D6" i="2"/>
  <c r="C36" i="37"/>
  <c r="E36" i="37"/>
  <c r="C36" i="24"/>
  <c r="E36" i="24"/>
  <c r="G35" i="27"/>
  <c r="C35" i="28"/>
  <c r="E35" i="28"/>
  <c r="G35" i="28"/>
  <c r="C35" i="26"/>
  <c r="E35" i="26"/>
  <c r="G35" i="26"/>
  <c r="E27" i="25"/>
  <c r="C27" i="25"/>
  <c r="C25" i="23"/>
  <c r="B25" i="23"/>
  <c r="D34" i="22"/>
  <c r="D26" i="22"/>
  <c r="D16" i="22"/>
  <c r="D12" i="22"/>
  <c r="B20" i="17"/>
  <c r="D13" i="36"/>
  <c r="D30" i="52"/>
  <c r="D20" i="32"/>
  <c r="D31" i="1"/>
  <c r="C20" i="17"/>
  <c r="D7" i="9"/>
  <c r="D23" i="18"/>
  <c r="E29" i="1"/>
  <c r="D23" i="40"/>
  <c r="F32" i="1"/>
  <c r="D17" i="52"/>
  <c r="D11" i="52"/>
  <c r="B26" i="49"/>
  <c r="C10" i="32"/>
  <c r="D10" i="32"/>
  <c r="C17" i="40"/>
  <c r="D17" i="40"/>
  <c r="C11" i="40"/>
  <c r="D11" i="40"/>
  <c r="C8" i="40"/>
  <c r="F35" i="37"/>
  <c r="F34" i="37"/>
  <c r="C14" i="26"/>
  <c r="D7" i="13"/>
  <c r="D7" i="75"/>
  <c r="D8" i="2"/>
  <c r="E35" i="37"/>
  <c r="C35" i="37"/>
  <c r="E35" i="24"/>
  <c r="C35" i="24"/>
  <c r="G34" i="27"/>
  <c r="G34" i="28"/>
  <c r="E34" i="28"/>
  <c r="C34" i="28"/>
  <c r="E26" i="25"/>
  <c r="C26" i="25"/>
  <c r="G34" i="26"/>
  <c r="E34" i="26"/>
  <c r="C34" i="26"/>
  <c r="D14" i="23"/>
  <c r="D6" i="11"/>
  <c r="D25" i="14"/>
  <c r="F33" i="1"/>
  <c r="C19" i="17"/>
  <c r="D36" i="22"/>
  <c r="D31" i="22"/>
  <c r="D28" i="22"/>
  <c r="D27" i="22"/>
  <c r="D22" i="22"/>
  <c r="D20" i="22"/>
  <c r="D15" i="22"/>
  <c r="D13" i="22"/>
  <c r="D10" i="22"/>
  <c r="D9" i="52"/>
  <c r="D12" i="52"/>
  <c r="D17" i="54"/>
  <c r="D17" i="53"/>
  <c r="D11" i="53"/>
  <c r="E34" i="37"/>
  <c r="C34" i="37"/>
  <c r="G34" i="24"/>
  <c r="E34" i="24"/>
  <c r="C34" i="24"/>
  <c r="G33" i="27"/>
  <c r="G33" i="28"/>
  <c r="E33" i="28"/>
  <c r="C33" i="28"/>
  <c r="E33" i="26"/>
  <c r="G33" i="26"/>
  <c r="C33" i="26"/>
  <c r="E25" i="25"/>
  <c r="C25" i="25"/>
  <c r="D19" i="10"/>
  <c r="D32" i="1"/>
  <c r="C32" i="1"/>
  <c r="E33" i="1"/>
  <c r="D33" i="1"/>
  <c r="E32" i="1"/>
  <c r="C29" i="1"/>
  <c r="G32" i="24"/>
  <c r="F33" i="37"/>
  <c r="C21" i="21"/>
  <c r="E32" i="27"/>
  <c r="C24" i="25"/>
  <c r="E33" i="37"/>
  <c r="C33" i="37"/>
  <c r="E33" i="24"/>
  <c r="C33" i="24"/>
  <c r="G32" i="27"/>
  <c r="C32" i="28"/>
  <c r="G32" i="28"/>
  <c r="E32" i="28"/>
  <c r="E32" i="26"/>
  <c r="G32" i="26"/>
  <c r="C32" i="26"/>
  <c r="E24" i="25"/>
  <c r="B25" i="21"/>
  <c r="B21" i="17"/>
  <c r="D22" i="18"/>
  <c r="D10" i="7"/>
  <c r="C33" i="1"/>
  <c r="H21" i="46"/>
  <c r="G21" i="46"/>
  <c r="F21" i="46"/>
  <c r="F22" i="46"/>
  <c r="E21" i="46"/>
  <c r="E22" i="46"/>
  <c r="D21" i="46"/>
  <c r="C21" i="46"/>
  <c r="B21" i="46"/>
  <c r="H21" i="45"/>
  <c r="H22" i="45"/>
  <c r="G21" i="45"/>
  <c r="G22" i="45"/>
  <c r="F21" i="45"/>
  <c r="E21" i="45"/>
  <c r="D21" i="45"/>
  <c r="D22" i="45"/>
  <c r="D25" i="45"/>
  <c r="D28" i="45"/>
  <c r="D8" i="45"/>
  <c r="D9" i="45"/>
  <c r="C21" i="45"/>
  <c r="B21" i="45"/>
  <c r="D22" i="46"/>
  <c r="E22" i="45"/>
  <c r="B22" i="45"/>
  <c r="B25" i="45"/>
  <c r="B28" i="45"/>
  <c r="B8" i="45"/>
  <c r="B9" i="45"/>
  <c r="F32" i="37"/>
  <c r="E32" i="37"/>
  <c r="C32" i="37"/>
  <c r="E32" i="24"/>
  <c r="C32" i="24"/>
  <c r="G31" i="27"/>
  <c r="E31" i="27"/>
  <c r="G31" i="28"/>
  <c r="E31" i="28"/>
  <c r="C31" i="28"/>
  <c r="G31" i="26"/>
  <c r="E31" i="26"/>
  <c r="C31" i="26"/>
  <c r="E23" i="25"/>
  <c r="C23" i="25"/>
  <c r="D11" i="75"/>
  <c r="D12" i="75"/>
  <c r="D9" i="75"/>
  <c r="D17" i="30"/>
  <c r="D18" i="30"/>
  <c r="D19" i="30"/>
  <c r="D20" i="18"/>
  <c r="D7" i="78"/>
  <c r="E22" i="25"/>
  <c r="C22" i="25"/>
  <c r="F31" i="37"/>
  <c r="E31" i="37"/>
  <c r="C31" i="37"/>
  <c r="E31" i="24"/>
  <c r="C31" i="24"/>
  <c r="G30" i="27"/>
  <c r="E30" i="27"/>
  <c r="G30" i="28"/>
  <c r="E30" i="28"/>
  <c r="C30" i="28"/>
  <c r="G30" i="26"/>
  <c r="E30" i="26"/>
  <c r="C30" i="26"/>
  <c r="D6" i="13"/>
  <c r="D6" i="9"/>
  <c r="D25" i="11"/>
  <c r="D26" i="11"/>
  <c r="D11" i="11"/>
  <c r="D12" i="11"/>
  <c r="D6" i="7"/>
  <c r="D14" i="75"/>
  <c r="D6" i="75"/>
  <c r="D9" i="2"/>
  <c r="F30" i="37"/>
  <c r="D14" i="30"/>
  <c r="D15" i="30"/>
  <c r="D18" i="54"/>
  <c r="D12" i="54"/>
  <c r="D18" i="53"/>
  <c r="D12" i="53"/>
  <c r="D11" i="73"/>
  <c r="D11" i="71"/>
  <c r="D46" i="70"/>
  <c r="D45" i="70"/>
  <c r="D44" i="70"/>
  <c r="D43" i="70"/>
  <c r="D40" i="70"/>
  <c r="D39" i="70"/>
  <c r="D38" i="70"/>
  <c r="D37" i="70"/>
  <c r="D34" i="70"/>
  <c r="D33" i="70"/>
  <c r="D32" i="70"/>
  <c r="D31" i="70"/>
  <c r="D28" i="70"/>
  <c r="D27" i="70"/>
  <c r="D26" i="70"/>
  <c r="D25" i="70"/>
  <c r="D22" i="70"/>
  <c r="D21" i="70"/>
  <c r="D20" i="70"/>
  <c r="D19" i="70"/>
  <c r="D16" i="70"/>
  <c r="D15" i="70"/>
  <c r="D14" i="70"/>
  <c r="D13" i="70"/>
  <c r="D8" i="70"/>
  <c r="D9" i="70"/>
  <c r="D10" i="70"/>
  <c r="D7" i="70"/>
  <c r="D7" i="69"/>
  <c r="D8" i="69"/>
  <c r="D9" i="69"/>
  <c r="D10" i="69"/>
  <c r="D11" i="69"/>
  <c r="D12" i="69"/>
  <c r="D13" i="69"/>
  <c r="D6" i="69"/>
  <c r="D9" i="61"/>
  <c r="D10" i="61"/>
  <c r="D11" i="61"/>
  <c r="D12" i="61"/>
  <c r="D13" i="61"/>
  <c r="D6" i="61"/>
  <c r="D46" i="62"/>
  <c r="D45" i="62"/>
  <c r="D44" i="62"/>
  <c r="D43" i="62"/>
  <c r="D40" i="62"/>
  <c r="D39" i="62"/>
  <c r="D38" i="62"/>
  <c r="D37" i="62"/>
  <c r="D34" i="62"/>
  <c r="D33" i="62"/>
  <c r="D32" i="62"/>
  <c r="D31" i="62"/>
  <c r="D28" i="62"/>
  <c r="D27" i="62"/>
  <c r="D26" i="62"/>
  <c r="D25" i="62"/>
  <c r="D22" i="62"/>
  <c r="D21" i="62"/>
  <c r="D20" i="62"/>
  <c r="D19" i="62"/>
  <c r="D16" i="62"/>
  <c r="D15" i="62"/>
  <c r="D14" i="62"/>
  <c r="D13" i="62"/>
  <c r="D8" i="62"/>
  <c r="D9" i="62"/>
  <c r="D10" i="62"/>
  <c r="D7" i="62"/>
  <c r="D16" i="54"/>
  <c r="D15" i="54"/>
  <c r="D11" i="54"/>
  <c r="D10" i="54"/>
  <c r="D9" i="54"/>
  <c r="D6" i="54"/>
  <c r="D16" i="53"/>
  <c r="D15" i="53"/>
  <c r="D10" i="53"/>
  <c r="D9" i="53"/>
  <c r="D6" i="53"/>
  <c r="D13" i="40"/>
  <c r="D23" i="52"/>
  <c r="D28" i="52"/>
  <c r="D27" i="52"/>
  <c r="D26" i="52"/>
  <c r="D25" i="52"/>
  <c r="D24" i="52"/>
  <c r="D22" i="52"/>
  <c r="D21" i="52"/>
  <c r="D20" i="52"/>
  <c r="D19" i="52"/>
  <c r="D18" i="52"/>
  <c r="D15" i="52"/>
  <c r="D14" i="52"/>
  <c r="D13" i="52"/>
  <c r="D11" i="30"/>
  <c r="D12" i="30"/>
  <c r="D13" i="30"/>
  <c r="D16" i="30"/>
  <c r="D39" i="30"/>
  <c r="D35" i="30"/>
  <c r="D36" i="30"/>
  <c r="D37" i="30"/>
  <c r="D7" i="30"/>
  <c r="D8" i="30"/>
  <c r="D6" i="30"/>
  <c r="D7" i="31"/>
  <c r="G29" i="24"/>
  <c r="D18" i="40"/>
  <c r="C30" i="37"/>
  <c r="E30" i="37"/>
  <c r="C30" i="24"/>
  <c r="E30" i="24"/>
  <c r="C29" i="28"/>
  <c r="E29" i="28"/>
  <c r="G29" i="28"/>
  <c r="C29" i="27"/>
  <c r="E29" i="27"/>
  <c r="G29" i="27"/>
  <c r="C29" i="26"/>
  <c r="E29" i="26"/>
  <c r="G29" i="26"/>
  <c r="C21" i="25"/>
  <c r="E21" i="25"/>
  <c r="D10" i="11"/>
  <c r="D6" i="31"/>
  <c r="D26" i="49"/>
  <c r="C26" i="49"/>
  <c r="F29" i="37"/>
  <c r="G29" i="37"/>
  <c r="E20" i="25"/>
  <c r="C20" i="25"/>
  <c r="E29" i="37"/>
  <c r="C29" i="37"/>
  <c r="E29" i="24"/>
  <c r="C29" i="24"/>
  <c r="G28" i="27"/>
  <c r="E28" i="27"/>
  <c r="C28" i="27"/>
  <c r="G28" i="28"/>
  <c r="E28" i="28"/>
  <c r="C28" i="28"/>
  <c r="G28" i="26"/>
  <c r="E28" i="26"/>
  <c r="C28" i="26"/>
  <c r="D26" i="18"/>
  <c r="D25" i="18"/>
  <c r="D8" i="32"/>
  <c r="D16" i="23"/>
  <c r="D15" i="23"/>
  <c r="D13" i="23"/>
  <c r="D12" i="23"/>
  <c r="D11" i="23"/>
  <c r="D10" i="23"/>
  <c r="D11" i="21"/>
  <c r="D10" i="21"/>
  <c r="D9" i="21"/>
  <c r="D8" i="21"/>
  <c r="D8" i="17"/>
  <c r="D7" i="17"/>
  <c r="D30" i="18"/>
  <c r="D29" i="18"/>
  <c r="D24" i="18"/>
  <c r="D8" i="19"/>
  <c r="D6" i="19"/>
  <c r="D28" i="40"/>
  <c r="D27" i="40"/>
  <c r="D26" i="40"/>
  <c r="D25" i="40"/>
  <c r="D24" i="40"/>
  <c r="D22" i="40"/>
  <c r="D21" i="40"/>
  <c r="D20" i="40"/>
  <c r="D19" i="40"/>
  <c r="D15" i="40"/>
  <c r="D14" i="40"/>
  <c r="D12" i="40"/>
  <c r="D21" i="12"/>
  <c r="D18" i="12"/>
  <c r="D17" i="12"/>
  <c r="D16" i="12"/>
  <c r="D6" i="12"/>
  <c r="D10" i="13"/>
  <c r="D8" i="14"/>
  <c r="D6" i="14"/>
  <c r="D8" i="11"/>
  <c r="D6" i="10"/>
  <c r="D31" i="7"/>
  <c r="D15" i="7"/>
  <c r="D14" i="7"/>
  <c r="D32" i="32"/>
  <c r="D31" i="32"/>
  <c r="D30" i="32"/>
  <c r="D29" i="32"/>
  <c r="D28" i="32"/>
  <c r="D27" i="32"/>
  <c r="D26" i="32"/>
  <c r="D25" i="32"/>
  <c r="D24" i="32"/>
  <c r="D23" i="32"/>
  <c r="D6" i="32"/>
  <c r="D38" i="30"/>
  <c r="D34" i="30"/>
  <c r="D33" i="30"/>
  <c r="D32" i="30"/>
  <c r="D21" i="30"/>
  <c r="D9" i="30"/>
  <c r="D12" i="2"/>
  <c r="D10" i="2"/>
  <c r="E19" i="25"/>
  <c r="C19" i="25"/>
  <c r="B23" i="21"/>
  <c r="F28" i="37"/>
  <c r="E28" i="37"/>
  <c r="C28" i="37"/>
  <c r="G28" i="24"/>
  <c r="E28" i="24"/>
  <c r="C28" i="24"/>
  <c r="G27" i="27"/>
  <c r="E27" i="27"/>
  <c r="C27" i="27"/>
  <c r="G27" i="28"/>
  <c r="E27" i="28"/>
  <c r="C27" i="28"/>
  <c r="G27" i="26"/>
  <c r="E27" i="26"/>
  <c r="C27" i="26"/>
  <c r="H19" i="46"/>
  <c r="H22" i="46"/>
  <c r="H25" i="46"/>
  <c r="H28" i="46"/>
  <c r="H8" i="46"/>
  <c r="H9" i="46"/>
  <c r="G19" i="46"/>
  <c r="G25" i="46"/>
  <c r="G28" i="46"/>
  <c r="G8" i="46"/>
  <c r="G9" i="46"/>
  <c r="F19" i="46"/>
  <c r="E19" i="46"/>
  <c r="E25" i="46"/>
  <c r="E28" i="46"/>
  <c r="E8" i="46"/>
  <c r="E9" i="46"/>
  <c r="D19" i="46"/>
  <c r="D25" i="46"/>
  <c r="D28" i="46"/>
  <c r="D8" i="46"/>
  <c r="D9" i="46"/>
  <c r="C19" i="46"/>
  <c r="C25" i="46"/>
  <c r="C28" i="46"/>
  <c r="C8" i="46"/>
  <c r="C9" i="46"/>
  <c r="C22" i="46"/>
  <c r="B19" i="46"/>
  <c r="B22" i="46"/>
  <c r="B25" i="46"/>
  <c r="B28" i="46"/>
  <c r="B8" i="46"/>
  <c r="B9" i="46"/>
  <c r="H6" i="46"/>
  <c r="G6" i="46"/>
  <c r="F6" i="46"/>
  <c r="E6" i="46"/>
  <c r="D6" i="46"/>
  <c r="C6" i="46"/>
  <c r="B6" i="46"/>
  <c r="H19" i="45"/>
  <c r="H25" i="45"/>
  <c r="H28" i="45"/>
  <c r="H8" i="45"/>
  <c r="H9" i="45"/>
  <c r="G19" i="45"/>
  <c r="G25" i="45"/>
  <c r="G28" i="45"/>
  <c r="G8" i="45"/>
  <c r="G9" i="45"/>
  <c r="F19" i="45"/>
  <c r="F22" i="45"/>
  <c r="F25" i="45"/>
  <c r="F28" i="45"/>
  <c r="F8" i="45"/>
  <c r="F9" i="45"/>
  <c r="E19" i="45"/>
  <c r="E25" i="45"/>
  <c r="E28" i="45"/>
  <c r="E8" i="45"/>
  <c r="E9" i="45"/>
  <c r="D19" i="45"/>
  <c r="C19" i="45"/>
  <c r="C25" i="45"/>
  <c r="C28" i="45"/>
  <c r="C8" i="45"/>
  <c r="C9" i="45"/>
  <c r="C22" i="45"/>
  <c r="B19" i="45"/>
  <c r="H6" i="45"/>
  <c r="G6" i="45"/>
  <c r="F6" i="45"/>
  <c r="E6" i="45"/>
  <c r="D6" i="45"/>
  <c r="C6" i="45"/>
  <c r="B6" i="45"/>
  <c r="E18" i="25"/>
  <c r="C18" i="25"/>
  <c r="G26" i="26"/>
  <c r="E26" i="26"/>
  <c r="C26" i="26"/>
  <c r="C26" i="28"/>
  <c r="E26" i="28"/>
  <c r="G26" i="28"/>
  <c r="G26" i="27"/>
  <c r="E26" i="27"/>
  <c r="C26" i="27"/>
  <c r="G27" i="24"/>
  <c r="E27" i="24"/>
  <c r="C27" i="24"/>
  <c r="F27" i="37"/>
  <c r="G27" i="37"/>
  <c r="C27" i="37"/>
  <c r="E27" i="37"/>
  <c r="F26" i="37"/>
  <c r="G26" i="37"/>
  <c r="C26" i="37"/>
  <c r="E26" i="37"/>
  <c r="F25" i="37"/>
  <c r="C26" i="24"/>
  <c r="E26" i="24"/>
  <c r="G26" i="24"/>
  <c r="C25" i="27"/>
  <c r="E25" i="27"/>
  <c r="G25" i="27"/>
  <c r="C25" i="28"/>
  <c r="E25" i="28"/>
  <c r="G25" i="28"/>
  <c r="C25" i="26"/>
  <c r="E25" i="26"/>
  <c r="G25" i="26"/>
  <c r="C17" i="25"/>
  <c r="E17" i="25"/>
  <c r="C16" i="25"/>
  <c r="E16" i="25"/>
  <c r="C25" i="37"/>
  <c r="E25" i="37"/>
  <c r="F24" i="37"/>
  <c r="C25" i="24"/>
  <c r="E25" i="24"/>
  <c r="G25" i="24"/>
  <c r="C24" i="27"/>
  <c r="E24" i="27"/>
  <c r="G24" i="27"/>
  <c r="C24" i="28"/>
  <c r="E24" i="28"/>
  <c r="G24" i="28"/>
  <c r="C24" i="26"/>
  <c r="E24" i="26"/>
  <c r="G24" i="26"/>
  <c r="F23" i="37"/>
  <c r="E24" i="37"/>
  <c r="C24" i="37"/>
  <c r="G24" i="24"/>
  <c r="E24" i="24"/>
  <c r="C24" i="24"/>
  <c r="G23" i="27"/>
  <c r="E23" i="27"/>
  <c r="C23" i="27"/>
  <c r="G23" i="28"/>
  <c r="E23" i="28"/>
  <c r="C23" i="28"/>
  <c r="G23" i="26"/>
  <c r="E23" i="26"/>
  <c r="C23" i="26"/>
  <c r="E13" i="25"/>
  <c r="F22" i="37"/>
  <c r="E23" i="37"/>
  <c r="C23" i="37"/>
  <c r="G23" i="24"/>
  <c r="E23" i="24"/>
  <c r="C23" i="24"/>
  <c r="G22" i="27"/>
  <c r="E22" i="27"/>
  <c r="C22" i="27"/>
  <c r="G22" i="28"/>
  <c r="E22" i="28"/>
  <c r="C22" i="28"/>
  <c r="G22" i="26"/>
  <c r="E22" i="26"/>
  <c r="C22" i="26"/>
  <c r="E12" i="25"/>
  <c r="F21" i="37"/>
  <c r="E22" i="37"/>
  <c r="C22" i="37"/>
  <c r="G22" i="24"/>
  <c r="E22" i="24"/>
  <c r="C22" i="24"/>
  <c r="G21" i="27"/>
  <c r="E21" i="27"/>
  <c r="C21" i="27"/>
  <c r="G21" i="28"/>
  <c r="E21" i="28"/>
  <c r="C21" i="28"/>
  <c r="G21" i="26"/>
  <c r="E21" i="26"/>
  <c r="C21" i="26"/>
  <c r="F20" i="37"/>
  <c r="E21" i="37"/>
  <c r="C21" i="37"/>
  <c r="G21" i="24"/>
  <c r="E21" i="24"/>
  <c r="C21" i="24"/>
  <c r="G20" i="27"/>
  <c r="E20" i="27"/>
  <c r="C20" i="27"/>
  <c r="G20" i="28"/>
  <c r="E20" i="28"/>
  <c r="C20" i="28"/>
  <c r="G20" i="26"/>
  <c r="E20" i="26"/>
  <c r="C20" i="26"/>
  <c r="F12" i="37"/>
  <c r="F13" i="37"/>
  <c r="F14" i="37"/>
  <c r="F15" i="37"/>
  <c r="G15" i="37"/>
  <c r="F16" i="37"/>
  <c r="G16" i="37"/>
  <c r="F17" i="37"/>
  <c r="F18" i="37"/>
  <c r="F19" i="37"/>
  <c r="G19" i="37"/>
  <c r="F11" i="37"/>
  <c r="F7" i="37"/>
  <c r="F8" i="37"/>
  <c r="F9" i="37"/>
  <c r="G9" i="37"/>
  <c r="F10" i="37"/>
  <c r="E8" i="37"/>
  <c r="E9" i="37"/>
  <c r="E10" i="37"/>
  <c r="E11" i="37"/>
  <c r="E12" i="37"/>
  <c r="E13" i="37"/>
  <c r="E14" i="37"/>
  <c r="E15" i="37"/>
  <c r="E16" i="37"/>
  <c r="E17" i="37"/>
  <c r="E18" i="37"/>
  <c r="E19" i="37"/>
  <c r="E20" i="37"/>
  <c r="C8" i="37"/>
  <c r="C9" i="37"/>
  <c r="C10" i="37"/>
  <c r="C11" i="37"/>
  <c r="C12" i="37"/>
  <c r="C13" i="37"/>
  <c r="C14" i="37"/>
  <c r="C15" i="37"/>
  <c r="C16" i="37"/>
  <c r="C17" i="37"/>
  <c r="C18" i="37"/>
  <c r="C19" i="37"/>
  <c r="C20" i="37"/>
  <c r="G11" i="24"/>
  <c r="E11" i="24"/>
  <c r="C11" i="24"/>
  <c r="G20" i="24"/>
  <c r="G19" i="24"/>
  <c r="G18" i="24"/>
  <c r="G17" i="24"/>
  <c r="G16" i="24"/>
  <c r="G15" i="24"/>
  <c r="G14" i="24"/>
  <c r="G13" i="24"/>
  <c r="G12" i="24"/>
  <c r="G10" i="24"/>
  <c r="G9" i="24"/>
  <c r="G8" i="24"/>
  <c r="E20" i="24"/>
  <c r="E19" i="24"/>
  <c r="E18" i="24"/>
  <c r="E17" i="24"/>
  <c r="E16" i="24"/>
  <c r="E15" i="24"/>
  <c r="E14" i="24"/>
  <c r="E13" i="24"/>
  <c r="E10" i="24"/>
  <c r="E9" i="24"/>
  <c r="E8" i="24"/>
  <c r="C20" i="24"/>
  <c r="C19" i="24"/>
  <c r="C18" i="24"/>
  <c r="C17" i="24"/>
  <c r="C16" i="24"/>
  <c r="C15" i="24"/>
  <c r="C14" i="24"/>
  <c r="C13" i="24"/>
  <c r="C12" i="24"/>
  <c r="C10" i="24"/>
  <c r="C9" i="24"/>
  <c r="C8" i="24"/>
  <c r="G19" i="27"/>
  <c r="G18" i="27"/>
  <c r="G17" i="27"/>
  <c r="G16" i="27"/>
  <c r="G15" i="27"/>
  <c r="G14" i="27"/>
  <c r="G13" i="27"/>
  <c r="G12" i="27"/>
  <c r="G11" i="27"/>
  <c r="G10" i="27"/>
  <c r="G9" i="27"/>
  <c r="G8" i="27"/>
  <c r="G7" i="27"/>
  <c r="E19" i="27"/>
  <c r="E18" i="27"/>
  <c r="E17" i="27"/>
  <c r="E16" i="27"/>
  <c r="E15" i="27"/>
  <c r="E14" i="27"/>
  <c r="E13" i="27"/>
  <c r="E12" i="27"/>
  <c r="E11" i="27"/>
  <c r="C19" i="27"/>
  <c r="C18" i="27"/>
  <c r="C17" i="27"/>
  <c r="C16" i="27"/>
  <c r="C15" i="27"/>
  <c r="C14" i="27"/>
  <c r="C13" i="27"/>
  <c r="C12" i="27"/>
  <c r="C11" i="27"/>
  <c r="C9" i="27"/>
  <c r="C8" i="27"/>
  <c r="C7" i="27"/>
  <c r="G19" i="28"/>
  <c r="G18" i="28"/>
  <c r="G17" i="28"/>
  <c r="G16" i="28"/>
  <c r="G15" i="28"/>
  <c r="G14" i="28"/>
  <c r="G13" i="28"/>
  <c r="G12" i="28"/>
  <c r="G11" i="28"/>
  <c r="G10" i="28"/>
  <c r="G9" i="28"/>
  <c r="G8" i="28"/>
  <c r="G7" i="28"/>
  <c r="E19" i="28"/>
  <c r="E18" i="28"/>
  <c r="E17" i="28"/>
  <c r="E16" i="28"/>
  <c r="E15" i="28"/>
  <c r="E14" i="28"/>
  <c r="E13" i="28"/>
  <c r="E12" i="28"/>
  <c r="E11" i="28"/>
  <c r="E10" i="28"/>
  <c r="E9" i="28"/>
  <c r="E8" i="28"/>
  <c r="E7" i="28"/>
  <c r="C19" i="28"/>
  <c r="C18" i="28"/>
  <c r="C17" i="28"/>
  <c r="C16" i="28"/>
  <c r="C15" i="28"/>
  <c r="C14" i="28"/>
  <c r="C13" i="28"/>
  <c r="C12" i="28"/>
  <c r="C11" i="28"/>
  <c r="C10" i="28"/>
  <c r="C9" i="28"/>
  <c r="C8" i="28"/>
  <c r="C7" i="28"/>
  <c r="G19" i="26"/>
  <c r="G18" i="26"/>
  <c r="G17" i="26"/>
  <c r="G16" i="26"/>
  <c r="G15" i="26"/>
  <c r="G14" i="26"/>
  <c r="G13" i="26"/>
  <c r="G12" i="26"/>
  <c r="G11" i="26"/>
  <c r="G10" i="26"/>
  <c r="G9" i="26"/>
  <c r="G8" i="26"/>
  <c r="G7" i="26"/>
  <c r="E19" i="26"/>
  <c r="E18" i="26"/>
  <c r="E17" i="26"/>
  <c r="E16" i="26"/>
  <c r="E15" i="26"/>
  <c r="E14" i="26"/>
  <c r="E13" i="26"/>
  <c r="E12" i="26"/>
  <c r="E11" i="26"/>
  <c r="E10" i="26"/>
  <c r="E9" i="26"/>
  <c r="E8" i="26"/>
  <c r="E7" i="26"/>
  <c r="C7" i="26"/>
  <c r="C8" i="26"/>
  <c r="C9" i="26"/>
  <c r="C10" i="26"/>
  <c r="C11" i="26"/>
  <c r="C12" i="26"/>
  <c r="C13" i="26"/>
  <c r="C15" i="26"/>
  <c r="C16" i="26"/>
  <c r="C17" i="26"/>
  <c r="C18" i="26"/>
  <c r="C19" i="26"/>
  <c r="E10" i="25"/>
  <c r="E8" i="25"/>
  <c r="E15" i="25"/>
  <c r="G22" i="46"/>
  <c r="B21" i="21"/>
  <c r="E7" i="25"/>
  <c r="B26" i="21"/>
  <c r="C15" i="25"/>
  <c r="D26" i="10"/>
  <c r="D18" i="10"/>
  <c r="D29" i="7"/>
  <c r="D35" i="7"/>
  <c r="D34" i="7"/>
  <c r="D28" i="7"/>
  <c r="D27" i="18"/>
  <c r="D33" i="7"/>
  <c r="D36" i="7"/>
  <c r="D27" i="7"/>
  <c r="D32" i="7"/>
  <c r="D9" i="11"/>
  <c r="D24" i="11"/>
  <c r="B24" i="21"/>
  <c r="C28" i="1"/>
  <c r="C31" i="1"/>
  <c r="F25" i="46"/>
  <c r="F28" i="46"/>
  <c r="F8" i="46"/>
  <c r="F9" i="46"/>
  <c r="C8" i="25"/>
  <c r="C10" i="25"/>
  <c r="C14" i="25"/>
  <c r="C9" i="25"/>
  <c r="E9" i="25"/>
  <c r="C11" i="25"/>
  <c r="C7" i="25"/>
  <c r="E11" i="25"/>
  <c r="C12" i="25"/>
  <c r="E14" i="25"/>
  <c r="C13" i="25"/>
  <c r="D25" i="10"/>
  <c r="D28" i="10"/>
  <c r="D24" i="10"/>
  <c r="D20" i="10"/>
  <c r="D21" i="18"/>
  <c r="D22" i="10"/>
  <c r="D21" i="10"/>
  <c r="D23" i="10"/>
  <c r="C26" i="21"/>
  <c r="D6" i="21"/>
  <c r="C25" i="21"/>
  <c r="C24" i="21"/>
  <c r="C23" i="21"/>
  <c r="C21" i="17"/>
  <c r="D6" i="17"/>
  <c r="D23" i="14"/>
  <c r="D28" i="1"/>
  <c r="D29" i="1"/>
  <c r="C38" i="23"/>
  <c r="D18" i="22"/>
  <c r="C37" i="23"/>
  <c r="C34" i="23"/>
  <c r="C36" i="23"/>
  <c r="C33" i="23"/>
  <c r="C29" i="23"/>
  <c r="C27" i="23"/>
  <c r="C32" i="23"/>
  <c r="C35" i="23"/>
  <c r="C30" i="23"/>
  <c r="C31" i="23"/>
  <c r="G23" i="37"/>
  <c r="G24" i="37"/>
  <c r="G22" i="37"/>
  <c r="G18" i="37"/>
  <c r="B29" i="23"/>
  <c r="D8" i="23"/>
  <c r="D9" i="23"/>
  <c r="B30" i="23"/>
  <c r="D9" i="22"/>
  <c r="D8" i="52"/>
  <c r="B34" i="23"/>
  <c r="B36" i="23"/>
  <c r="B37" i="23"/>
  <c r="B31" i="23"/>
  <c r="B32" i="23"/>
  <c r="B38" i="23"/>
  <c r="D6" i="23"/>
  <c r="B35" i="23"/>
  <c r="B33" i="23"/>
  <c r="D7" i="18"/>
  <c r="D30" i="7"/>
  <c r="D6" i="22"/>
  <c r="D8" i="22"/>
  <c r="D30" i="22"/>
  <c r="D6" i="52"/>
  <c r="D8" i="18"/>
  <c r="D6" i="18"/>
  <c r="B27" i="23"/>
  <c r="D29" i="19"/>
  <c r="D23" i="19"/>
  <c r="C12" i="13"/>
  <c r="D12" i="13"/>
  <c r="D29" i="14"/>
  <c r="D24" i="14"/>
  <c r="D28" i="14"/>
  <c r="D35" i="14"/>
  <c r="D31" i="14"/>
  <c r="D33" i="14"/>
  <c r="D27" i="14"/>
  <c r="D16" i="10"/>
  <c r="D25" i="7"/>
  <c r="D8" i="75"/>
  <c r="G11" i="37"/>
  <c r="G8" i="37"/>
  <c r="G12" i="37"/>
  <c r="G28" i="37"/>
  <c r="G33" i="37"/>
  <c r="G34" i="37"/>
  <c r="G10" i="37"/>
  <c r="G17" i="37"/>
  <c r="G13" i="37"/>
  <c r="G21" i="37"/>
  <c r="G25" i="37"/>
  <c r="G30" i="37"/>
  <c r="G32" i="37"/>
  <c r="G35" i="37"/>
  <c r="G31" i="37"/>
  <c r="G14" i="37"/>
  <c r="G20" i="37"/>
  <c r="G36" i="37"/>
  <c r="D27" i="19"/>
  <c r="D24" i="19"/>
  <c r="D28" i="19"/>
  <c r="D26" i="19"/>
  <c r="D30" i="19"/>
  <c r="D25" i="19"/>
  <c r="C6" i="40"/>
  <c r="C22" i="12"/>
  <c r="D8" i="7"/>
  <c r="D38" i="75"/>
  <c r="D39" i="75"/>
  <c r="D40" i="75"/>
  <c r="D37" i="75"/>
  <c r="D34" i="75"/>
  <c r="D10" i="75"/>
  <c r="D16" i="75"/>
  <c r="D32" i="75"/>
  <c r="D35" i="75"/>
  <c r="D30" i="75"/>
  <c r="D36" i="75"/>
  <c r="D31" i="75"/>
  <c r="D30" i="2"/>
  <c r="D35" i="2"/>
  <c r="D29" i="2"/>
  <c r="D28" i="2"/>
  <c r="D33" i="2"/>
  <c r="D38" i="2"/>
  <c r="D32" i="2"/>
  <c r="D37" i="2"/>
  <c r="D31" i="2"/>
  <c r="D20" i="19"/>
  <c r="D20" i="14"/>
  <c r="D22" i="12"/>
  <c r="C25" i="12"/>
  <c r="D25" i="12"/>
  <c r="D26" i="2"/>
  <c r="D28" i="75"/>
  <c r="D22" i="30" l="1"/>
  <c r="D20" i="30"/>
</calcChain>
</file>

<file path=xl/sharedStrings.xml><?xml version="1.0" encoding="utf-8"?>
<sst xmlns="http://schemas.openxmlformats.org/spreadsheetml/2006/main" count="2265" uniqueCount="780">
  <si>
    <t xml:space="preserve">Gemeinden </t>
  </si>
  <si>
    <t>T 2.4.1</t>
  </si>
  <si>
    <t>T 2.4.2</t>
  </si>
  <si>
    <t>T 2.4.3</t>
  </si>
  <si>
    <t>Couponsteuer</t>
  </si>
  <si>
    <t>Grundstücksgewinnsteuer</t>
  </si>
  <si>
    <t>T 2.5.1</t>
  </si>
  <si>
    <t>T 2.5.2</t>
  </si>
  <si>
    <t>T 2.6.1</t>
  </si>
  <si>
    <t>Schenkungssteuer</t>
  </si>
  <si>
    <t>Stempelabgaben</t>
  </si>
  <si>
    <t>T 2.9.1</t>
  </si>
  <si>
    <t>Emissionsabgabe</t>
  </si>
  <si>
    <t>Prämienquittungen</t>
  </si>
  <si>
    <t>abzügl. Beitrag für die Durchführung</t>
  </si>
  <si>
    <t>T 2.9.2</t>
  </si>
  <si>
    <t>- aus Obligationen</t>
  </si>
  <si>
    <t>- aus Aktien und GmbH-Anteilen</t>
  </si>
  <si>
    <t>- aus Genossenschaftsanteilen</t>
  </si>
  <si>
    <t>- aus inländischen Wertpapieren</t>
  </si>
  <si>
    <t>- aus ausländischen Wertpapieren</t>
  </si>
  <si>
    <t>T 2.10.1</t>
  </si>
  <si>
    <t>T 2.11.1</t>
  </si>
  <si>
    <t>T 2.11.2</t>
  </si>
  <si>
    <t>Anzahl Steuerpflichtige</t>
  </si>
  <si>
    <t>Motorfahrzeugsteuer</t>
  </si>
  <si>
    <t>Gesamt pro Motorfahrzeug</t>
  </si>
  <si>
    <t>T 2.13.1</t>
  </si>
  <si>
    <t>T 2.13.2</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</si>
  <si>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</si>
  <si>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</si>
  <si>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</si>
  <si>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</si>
  <si>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</si>
  <si>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</si>
  <si>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</si>
  <si>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</si>
  <si>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</si>
  <si>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</si>
  <si>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</si>
  <si>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T 2.14.1</t>
  </si>
  <si>
    <t>T 2.14.2</t>
  </si>
  <si>
    <t>T 3.1.1</t>
  </si>
  <si>
    <t>Direkte Steuern</t>
  </si>
  <si>
    <t>Indirekte Steuern</t>
  </si>
  <si>
    <t>T 3.1.2</t>
  </si>
  <si>
    <t>T 3.2.1</t>
  </si>
  <si>
    <t>D.2 Produktions- und Importabgaben</t>
  </si>
  <si>
    <t>D.5 Einkommen- und Vermögensteuern</t>
  </si>
  <si>
    <t>T 3.2.2</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</si>
  <si>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</si>
  <si>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</si>
  <si>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</si>
  <si>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</si>
  <si>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</si>
  <si>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</si>
  <si>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</si>
  <si>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</si>
  <si>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</si>
  <si>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</si>
  <si>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</si>
  <si>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</si>
  <si>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</si>
  <si>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</si>
  <si>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</si>
  <si>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</si>
  <si>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</si>
  <si>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</si>
  <si>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</si>
  <si>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</si>
  <si>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</si>
  <si>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</si>
  <si>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T 3.3.1</t>
  </si>
  <si>
    <t>T 3.3.2</t>
  </si>
  <si>
    <t>Fiskaleinnahmen</t>
  </si>
  <si>
    <t>Steuereinnahmen</t>
  </si>
  <si>
    <t xml:space="preserve"> </t>
  </si>
  <si>
    <t>Steuern zu Gesamteinnahmen Land</t>
  </si>
  <si>
    <t>T 2.2.5</t>
  </si>
  <si>
    <t>Besondere Gesellschaftssteuern</t>
  </si>
  <si>
    <t>T 2.4.4</t>
  </si>
  <si>
    <t>Freibetrag</t>
  </si>
  <si>
    <t>Gesamt pro Steuerpflichtiger</t>
  </si>
  <si>
    <t>Nachlass- und Erbanfallsteuer</t>
  </si>
  <si>
    <t>Anzahl Veranlagungen ohne Steuerbetrag</t>
  </si>
  <si>
    <t>Anzahl Veranlagungen mit Steuerbetrag</t>
  </si>
  <si>
    <t>T 2.9.3</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</si>
  <si>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</si>
  <si>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</si>
  <si>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</si>
  <si>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</si>
  <si>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</si>
  <si>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</si>
  <si>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</si>
  <si>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</si>
  <si>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</si>
  <si>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</si>
  <si>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Sonstige Steuern der Gemeinden</t>
  </si>
  <si>
    <t>T 2.2.6</t>
  </si>
  <si>
    <t>0 CHF</t>
  </si>
  <si>
    <t>Total</t>
  </si>
  <si>
    <t>Veranlagungen</t>
  </si>
  <si>
    <t>Steuerpfl. Ertrag</t>
  </si>
  <si>
    <t>2 Betriebsvermögen Selbständiger</t>
  </si>
  <si>
    <t>Durchschnitt</t>
  </si>
  <si>
    <t>D.91 Vermögenswirksame Steuern</t>
  </si>
  <si>
    <t>20 Abzüge und steuerfreie Beträge</t>
  </si>
  <si>
    <t>Gründungsabgabe</t>
  </si>
  <si>
    <t>Sonstige Steuern der Gemeinden: Hundesteuer.</t>
  </si>
  <si>
    <t>Gemeinden, Steuerverwaltung</t>
  </si>
  <si>
    <t>*</t>
  </si>
  <si>
    <t>Steuerobjekt: Bruttoerwerb gemäss Lohnausweis.</t>
  </si>
  <si>
    <t>Verbleibender Poolertrag</t>
  </si>
  <si>
    <t>Gemeinsamer Poolertrag CH und FL</t>
  </si>
  <si>
    <r>
      <t>Steuereinnahmen des Landes:</t>
    </r>
    <r>
      <rPr>
        <sz val="10"/>
        <rFont val="Arial"/>
      </rPr>
      <t xml:space="preserve"> Nach Abzug der Finanzzuweisungen an die Gemeinden.</t>
    </r>
  </si>
  <si>
    <t>T 3.2.3</t>
  </si>
  <si>
    <t>.</t>
  </si>
  <si>
    <t>T 2.11.3</t>
  </si>
  <si>
    <t>Gesamter Grundstücksgewinn</t>
  </si>
  <si>
    <t>Sektor 1</t>
  </si>
  <si>
    <t>Sektor 2</t>
  </si>
  <si>
    <t>Sektor 3</t>
  </si>
  <si>
    <t>Direkte Zuweisung an CH</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</si>
  <si>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</si>
  <si>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</si>
  <si>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</si>
  <si>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</si>
  <si>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</si>
  <si>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</si>
  <si>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</si>
  <si>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</si>
  <si>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</si>
  <si>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</si>
  <si>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</si>
  <si>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</si>
  <si>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</si>
  <si>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</si>
  <si>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T 5.1.1</t>
  </si>
  <si>
    <t>T 5.1.2</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</si>
  <si>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</si>
  <si>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</si>
  <si>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</si>
  <si>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</si>
  <si>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</si>
  <si>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</si>
  <si>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</si>
  <si>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</si>
  <si>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</si>
  <si>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</si>
  <si>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T 5.2.1</t>
  </si>
  <si>
    <t>T 5.2.2</t>
  </si>
  <si>
    <t>Grössenklassen Ertragssteuern</t>
  </si>
  <si>
    <t>Rendite</t>
  </si>
  <si>
    <t>Gemeindesteuerzuschlag (160%)</t>
  </si>
  <si>
    <t>T 4.1.1</t>
  </si>
  <si>
    <t>T 4.1.2</t>
  </si>
  <si>
    <t>T 4.2.1</t>
  </si>
  <si>
    <t>T 4.2.2</t>
  </si>
  <si>
    <t>T 4.3.1</t>
  </si>
  <si>
    <t>T 4.3.2</t>
  </si>
  <si>
    <t>Steuerbarer Grundstücksgewinn</t>
  </si>
  <si>
    <t>Liechtensteinische Steuerverwaltung, Eidgenössische Steuerverwaltung (ESTV)</t>
  </si>
  <si>
    <t>T 2.1.2</t>
  </si>
  <si>
    <t>T 4.4.1</t>
  </si>
  <si>
    <t>T 4.4.2</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</si>
  <si>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</si>
  <si>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</si>
  <si>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</si>
  <si>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</si>
  <si>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</si>
  <si>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</si>
  <si>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</si>
  <si>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</si>
  <si>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</si>
  <si>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</si>
  <si>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</si>
  <si>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</si>
  <si>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</si>
  <si>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</si>
  <si>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</si>
  <si>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</si>
  <si>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</si>
  <si>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</si>
  <si>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</si>
  <si>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</si>
  <si>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T 1.1</t>
  </si>
  <si>
    <t>T 1.2</t>
  </si>
  <si>
    <t>Anzahl Veranlagungen</t>
  </si>
  <si>
    <t>T 2.1.1</t>
  </si>
  <si>
    <t>Obligator. Sozialversicherungsbeiträge</t>
  </si>
  <si>
    <t>Land</t>
  </si>
  <si>
    <t>Gemeinden</t>
  </si>
  <si>
    <t>Gesamt</t>
  </si>
  <si>
    <t>Land pro Veranlagung</t>
  </si>
  <si>
    <t>Gemeinden pro Veranlagung</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</si>
  <si>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</si>
  <si>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</si>
  <si>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</si>
  <si>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</si>
  <si>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</si>
  <si>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</si>
  <si>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</si>
  <si>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</si>
  <si>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</si>
  <si>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</si>
  <si>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</si>
  <si>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</si>
  <si>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</si>
  <si>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</si>
  <si>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</si>
  <si>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T 2.1.3</t>
  </si>
  <si>
    <t>1 Grundeigentum</t>
  </si>
  <si>
    <t>3 Bewegliches Privatvermögen</t>
  </si>
  <si>
    <t>4 Total der Vermögenswerte</t>
  </si>
  <si>
    <t>5 Schulden</t>
  </si>
  <si>
    <t>T 2.1.4</t>
  </si>
  <si>
    <t>11 Erwerb aus unselbständiger Tätigkeit</t>
  </si>
  <si>
    <t>12 Erwerb aus selbständiger Tätigkeit</t>
  </si>
  <si>
    <t>13 Erwerb aus Versicherungsleistungen</t>
  </si>
  <si>
    <t>15 Total steuerpflichtiger Erwerb</t>
  </si>
  <si>
    <t>21 Gesamterwerb</t>
  </si>
  <si>
    <t>T 2.2.1</t>
  </si>
  <si>
    <t>T 2.2.2</t>
  </si>
  <si>
    <t>T 2.2.3</t>
  </si>
  <si>
    <t>T 2.2.4</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</si>
  <si>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</si>
  <si>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</si>
  <si>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</si>
  <si>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</si>
  <si>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</si>
  <si>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</si>
  <si>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</si>
  <si>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</si>
  <si>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</si>
  <si>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</si>
  <si>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</si>
  <si>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</si>
  <si>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</si>
  <si>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</si>
  <si>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</si>
  <si>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</si>
  <si>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</si>
  <si>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</si>
  <si>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</si>
  <si>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</si>
  <si>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</si>
  <si>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Emissionsvolumen: Das Emissionsvolumen ist errechnet aus den Einnahmen der Emissionsabgabe und dem Abgabesatz. Der Abgabesatz beläuft sich bei Beteiligungsrechten auf 1 Prozent des Betrages, der der Gesellschaft zufliesst.</t>
  </si>
  <si>
    <t>Effektenumsätze: Die Effektenumsätze errechnen sich aus den Einnahmen der Effektenumsatzabgabe und dem Abgabesatz. Der Abgabesatz beläuft sich bei inländischen Wertpapieren auf 1.5 Promille des Entgelts, bei ausländischen Wertpapieren auf 3 Promille des Entgelts.</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</si>
  <si>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</si>
  <si>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</si>
  <si>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</si>
  <si>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</si>
  <si>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</si>
  <si>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</si>
  <si>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</si>
  <si>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</si>
  <si>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</si>
  <si>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</si>
  <si>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</si>
  <si>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</si>
  <si>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</si>
  <si>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</si>
  <si>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</si>
  <si>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</si>
  <si>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</si>
  <si>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Rechnungsjahr</t>
  </si>
  <si>
    <t>Vermögens- und Erwerbssteuer</t>
  </si>
  <si>
    <t>WuSt/ Mehrwertsteuer</t>
  </si>
  <si>
    <t>Steuer ausl. Versicherer</t>
  </si>
  <si>
    <t>WuSt/ Mehrwertsteuer: Die Mehrwertsteuer löste die Warenumsatzsteuer (WuSt) per 1. Januar 1995 ab. Die Ergebnisse der Jahre bis 1994 sind nicht direkt vergleichbar mit jenen ab 1995.</t>
  </si>
  <si>
    <t>Aufwandbest./ Rentnersteuer</t>
  </si>
  <si>
    <t>Total der 14 Steuerarten</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</si>
  <si>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</si>
  <si>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</si>
  <si>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</si>
  <si>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</si>
  <si>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</si>
  <si>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</si>
  <si>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</si>
  <si>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</si>
  <si>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</si>
  <si>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</si>
  <si>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</si>
  <si>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</si>
  <si>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</si>
  <si>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</si>
  <si>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</si>
  <si>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</si>
  <si>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</si>
  <si>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</si>
  <si>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</si>
  <si>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</si>
  <si>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</si>
  <si>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</si>
  <si>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</si>
  <si>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</si>
  <si>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</si>
  <si>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</si>
  <si>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</si>
  <si>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</si>
  <si>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</si>
  <si>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Erläuterungen zur Tabelle 3.2.3 "Details gemäss den Kategorien der OECD":</t>
  </si>
  <si>
    <t>Übersicht gemäss den Kategorien der VGR</t>
  </si>
  <si>
    <t>Anteile gemäss den Kategorien der VGR</t>
  </si>
  <si>
    <t>Erläuterungen zur Tabelle 3.3.1 "Übersicht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</si>
  <si>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</si>
  <si>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</si>
  <si>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</si>
  <si>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</si>
  <si>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</si>
  <si>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</si>
  <si>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</si>
  <si>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Fiskaleinnahmen und Steuereinnahmen seit 1998</t>
  </si>
  <si>
    <t>in CHF und Veränderung in %</t>
  </si>
  <si>
    <t>Steuerbelastung von Ehepaaren ohne Kinder nach Erwerbsklassen</t>
  </si>
  <si>
    <t>Übersicht zu den direkten und indirekten Steuern</t>
  </si>
  <si>
    <t xml:space="preserve">in CHF </t>
  </si>
  <si>
    <t>Übersicht zur Ertragssteuer nach Rechnungsjahr</t>
  </si>
  <si>
    <t>Übersicht zur Ertragssteuer nach Steuerjahr</t>
  </si>
  <si>
    <t>Übersicht zur Couponsteuer nach Rechnungsjahr</t>
  </si>
  <si>
    <t>Berechnungsgrundlage der Couponsteuer nach Rechnungsjahr</t>
  </si>
  <si>
    <t>Übersicht zur Couponsteuer nach Steuerjahr</t>
  </si>
  <si>
    <t>Berechnungsgrundlage der Couponsteuer nach Steuerjahr</t>
  </si>
  <si>
    <t>Steuern zu Gesamteinnahmen Land und Gemeinden</t>
  </si>
  <si>
    <t>Steuern zu Gesamteinnahmen Gemeinden</t>
  </si>
  <si>
    <t>Gesamteinnahmen Land und Gemeinden</t>
  </si>
  <si>
    <t>Ertragssteuer nach Gemeinde und Steuerjahr</t>
  </si>
  <si>
    <t>Ertragssteuer nach Gemeinde und Rechnungsjahr</t>
  </si>
  <si>
    <t>Farbcodierung der Tabellenblätter</t>
  </si>
  <si>
    <t>Der Tabellenaufbau hat sich geändert.</t>
  </si>
  <si>
    <t>Vermögens- und Erwerbssteuer, Ertragssteuer sowie Couponsteuer seit 1990</t>
  </si>
  <si>
    <t>Nachlass- und Erbanfallsteuer, Schenkungssteuer sowie Stempelabgaben seit 1990</t>
  </si>
  <si>
    <t>Gründungsabgabe, Mehrwertsteuer sowie Steuer der ausländischen Versicherungsgesellschaften seit 1990</t>
  </si>
  <si>
    <t>Motorfahrzeugsteuer, Besteuerung nach dem Aufwand (Rentnersteuer), Total der 14 aufgeführten Steuerarten seit 1990</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</si>
  <si>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</si>
  <si>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</si>
  <si>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</si>
  <si>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</si>
  <si>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</si>
  <si>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</si>
  <si>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</si>
  <si>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</si>
  <si>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</si>
  <si>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1.1 Grundeigentum in Liechtenstein</t>
  </si>
  <si>
    <t>1.2 Grundeigentum im Ausland</t>
  </si>
  <si>
    <t>T 2.1.3: Die Vermögensangaben entsprechen dem Stand am 1. Januar.</t>
  </si>
  <si>
    <t>davon 14.6 Sollertrag</t>
  </si>
  <si>
    <t>3.1 Bank- und Postkonti, Bargeld</t>
  </si>
  <si>
    <t>3.2 Wertschriften, Edelmetalle</t>
  </si>
  <si>
    <t>3.3 Firmenwerte</t>
  </si>
  <si>
    <t>T 2.2.7</t>
  </si>
  <si>
    <t>Neue Tabelle</t>
  </si>
  <si>
    <t>Ertragssteuer nach Wirtschaftszweig und Steuerjahr</t>
  </si>
  <si>
    <t>C Herstellung von Waren</t>
  </si>
  <si>
    <t>Keine Angabe zum Wirtschaftszweig</t>
  </si>
  <si>
    <t>T 7.1</t>
  </si>
  <si>
    <t>T 7.2</t>
  </si>
  <si>
    <t>T 7.3</t>
  </si>
  <si>
    <t>T 7.4</t>
  </si>
  <si>
    <t>T 7.5</t>
  </si>
  <si>
    <t>T 7.6</t>
  </si>
  <si>
    <t>Vermögens- und Erwerbsindikatoren von Personen</t>
  </si>
  <si>
    <t>Anzahl erfasste Personen</t>
  </si>
  <si>
    <t>Vermögen</t>
  </si>
  <si>
    <t>Median</t>
  </si>
  <si>
    <t>Dezilverhältnis (D9/D5)</t>
  </si>
  <si>
    <t>Gini-Koeffizient</t>
  </si>
  <si>
    <t>Erwerb</t>
  </si>
  <si>
    <t>T 6.1.1</t>
  </si>
  <si>
    <t>Vermögens- und Erwerbsindikatoren von Haushalten</t>
  </si>
  <si>
    <t>Anzahl erfasste Haushalte</t>
  </si>
  <si>
    <t>T 6.1.2</t>
  </si>
  <si>
    <t>Anzahl Personen</t>
  </si>
  <si>
    <t>Anteil Personen</t>
  </si>
  <si>
    <t>Durchschnittsvermögen</t>
  </si>
  <si>
    <t>Vermögensklassen</t>
  </si>
  <si>
    <t>&lt;50'001 CHF</t>
  </si>
  <si>
    <t>50'001 - 100'000 CHF</t>
  </si>
  <si>
    <t>100'001 - 200'000 CHF</t>
  </si>
  <si>
    <t>200'001 - 300'000 CHF</t>
  </si>
  <si>
    <t>300'001 - 400'000 CHF</t>
  </si>
  <si>
    <t>400'001 - 500'000 CHF</t>
  </si>
  <si>
    <t>500'001 - 1 Mio. CHF</t>
  </si>
  <si>
    <t xml:space="preserve">1+ Mio. CHF </t>
  </si>
  <si>
    <t>T 6.2.1</t>
  </si>
  <si>
    <t>Personen</t>
  </si>
  <si>
    <t>Anteil</t>
  </si>
  <si>
    <t>Anzahl</t>
  </si>
  <si>
    <t>%</t>
  </si>
  <si>
    <t>CHF</t>
  </si>
  <si>
    <t>Vermögensverteilung und Durchschnittsvermögen der Personen nach Vermögensklassen</t>
  </si>
  <si>
    <t>Erwerbsverteilung der Personen in Dezilen</t>
  </si>
  <si>
    <t>1. Dezil</t>
  </si>
  <si>
    <t>2. Dezil</t>
  </si>
  <si>
    <t>3. Dezil</t>
  </si>
  <si>
    <t>4. Dezil</t>
  </si>
  <si>
    <t>5. Dezil</t>
  </si>
  <si>
    <t>6. Dezil</t>
  </si>
  <si>
    <t>7. Dezil</t>
  </si>
  <si>
    <t>8. Dezil</t>
  </si>
  <si>
    <t>9. Dezil</t>
  </si>
  <si>
    <t>10. Dezil</t>
  </si>
  <si>
    <t>Vermögensverteilung der Personen in Dezilen</t>
  </si>
  <si>
    <t>Mio. CHF</t>
  </si>
  <si>
    <t>Vermögensanteil kumuliert</t>
  </si>
  <si>
    <t>Vermögenssumme kumuliert</t>
  </si>
  <si>
    <t>T 6.2.2</t>
  </si>
  <si>
    <t>15-29 Jahre</t>
  </si>
  <si>
    <t>30-49 Jahre</t>
  </si>
  <si>
    <t>50-64 Jahre</t>
  </si>
  <si>
    <t>Durchschnittserwerb</t>
  </si>
  <si>
    <t>1. Quartil</t>
  </si>
  <si>
    <t>3. Quartil</t>
  </si>
  <si>
    <t>T 6.2.3</t>
  </si>
  <si>
    <t>P5</t>
  </si>
  <si>
    <t>P95</t>
  </si>
  <si>
    <t>85+ Jahre</t>
  </si>
  <si>
    <t>65-84 Jahre</t>
  </si>
  <si>
    <t>Anteil der Personen nach Vermögensklassen und Altersgruppen</t>
  </si>
  <si>
    <t>T 6.2.4</t>
  </si>
  <si>
    <t>Erwerbsverteilung und Durchschnittserwerb der Haushalte nach Erwerbsklassen</t>
  </si>
  <si>
    <t>Erwerbsklassen</t>
  </si>
  <si>
    <t>&lt;15'001 CHF</t>
  </si>
  <si>
    <t>15'001-30'000 CHF</t>
  </si>
  <si>
    <t>30'001-60'000 CHF</t>
  </si>
  <si>
    <t>60'001-120'000 CHF</t>
  </si>
  <si>
    <t>120'001-240'000 CHF</t>
  </si>
  <si>
    <t>240'001+ CHF</t>
  </si>
  <si>
    <t>Vermögensverteilung und Durchschnittsvermögen der Haushalte nach Vermögensklassen</t>
  </si>
  <si>
    <t>T 6.3.1</t>
  </si>
  <si>
    <t>Haushalte</t>
  </si>
  <si>
    <t>Vermögensverteilung der Haushalte in Dezilen</t>
  </si>
  <si>
    <t>T 6.3.2</t>
  </si>
  <si>
    <t>Anteil Haushalte</t>
  </si>
  <si>
    <t>T 6.3.3</t>
  </si>
  <si>
    <t>Durchschnitt und Quartile des Vermögens von Haushalten nach Haushaltsgrösse</t>
  </si>
  <si>
    <t>Alle Haushalte</t>
  </si>
  <si>
    <t>1 Person</t>
  </si>
  <si>
    <t>2 Personen</t>
  </si>
  <si>
    <t>3 Personen</t>
  </si>
  <si>
    <t>4 Personen</t>
  </si>
  <si>
    <t>5 Personen</t>
  </si>
  <si>
    <t>6+ Personen</t>
  </si>
  <si>
    <t>T 6.4.1</t>
  </si>
  <si>
    <t>Erwerbsverteilung und Durchschnittserwerb der Personen nach Erwerbsklassen</t>
  </si>
  <si>
    <t>Erwerbsanteil kumuliert</t>
  </si>
  <si>
    <t>Erwerbssumme kumuliert</t>
  </si>
  <si>
    <t>T 6.4.2</t>
  </si>
  <si>
    <t>T 6.4.3</t>
  </si>
  <si>
    <t>Anteil der Personen nach Erwerbsklassen und Altersgruppen</t>
  </si>
  <si>
    <t>T 6.4.4</t>
  </si>
  <si>
    <t>T 6.5.1</t>
  </si>
  <si>
    <t>Erwerbsverteilung der Haushalte in Dezilen</t>
  </si>
  <si>
    <t>T 6.5.2</t>
  </si>
  <si>
    <t>T 6.5.3</t>
  </si>
  <si>
    <t>T 6.3.4</t>
  </si>
  <si>
    <t>T 6.5.4</t>
  </si>
  <si>
    <t>Durchschnitt und Quartile des Erwerbs von Haushalten nach Haushaltsgrösse</t>
  </si>
  <si>
    <t>Vermögensindikatoren der Personen seit 2000</t>
  </si>
  <si>
    <t>In den Jahren 2000 bis 2010 wird der Vermögensstand per 31. Dezember abgebildet, während es sich ab dem Jahr 2011 um den Vermögensstand per 1. Januar handelt.</t>
  </si>
  <si>
    <t>T 7.10</t>
  </si>
  <si>
    <t>Vermögensverteilung und Durchschnittsvermögen der Personen nach Vermögensklassen seit 2000</t>
  </si>
  <si>
    <t>T 7.11</t>
  </si>
  <si>
    <t>50'001 - 1 Mio. CHF</t>
  </si>
  <si>
    <t>Erwerbsindikatoren der Personen seit 2000</t>
  </si>
  <si>
    <t>T 7.15</t>
  </si>
  <si>
    <t>Erwerbsverteilung und Durchschnittserwerb der Personen nach Erwerbsklassen seit 2000</t>
  </si>
  <si>
    <t>T 7.16</t>
  </si>
  <si>
    <t>15'001-120'000 CHF</t>
  </si>
  <si>
    <t>120'001+ CHF</t>
  </si>
  <si>
    <t>Durchschnitt (CHF)</t>
  </si>
  <si>
    <t>Median (CHF)</t>
  </si>
  <si>
    <t>Erfasstes Vermögen</t>
  </si>
  <si>
    <t>Erfasster Erwerb</t>
  </si>
  <si>
    <t>Steuerjahr</t>
  </si>
  <si>
    <t>Durchschnitt und Quantile des Vermögens von Personen nach Altersgruppen</t>
  </si>
  <si>
    <t>Durchschnitt und Quantile des Vermögens von Haushalten</t>
  </si>
  <si>
    <t>Durchschnitt und Quantile des Erwerbs von Personen nach Altersgruppen</t>
  </si>
  <si>
    <t>Durchschnitt und Quantile des Erwerbs von Haushalten</t>
  </si>
  <si>
    <t>Ausgewiesen werden die vereinbarten Mehrwertsteuerzahlungen (Forderungsprinzip).</t>
  </si>
  <si>
    <t>Ertragssteuer: Bis Rechnungsjahr 2011 als Kapital- und Ertragssteuer bezeichnet.</t>
  </si>
  <si>
    <t>3.4 Darlehens- und Ausschüttungsguthaben</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</si>
  <si>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</si>
  <si>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</si>
  <si>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</si>
  <si>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</si>
  <si>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</si>
  <si>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</si>
  <si>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</si>
  <si>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</si>
  <si>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</si>
  <si>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</si>
  <si>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</si>
  <si>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</si>
  <si>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zur Schenkungssteuer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</si>
  <si>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</si>
  <si>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</si>
  <si>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</si>
  <si>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</si>
  <si>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</si>
  <si>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</si>
  <si>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</si>
  <si>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</si>
  <si>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</si>
  <si>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</si>
  <si>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</si>
  <si>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</si>
  <si>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Erläuterung zur Tabelle:</t>
  </si>
  <si>
    <t>Die Begriffe Durchschnitt, Median, Dezilverhältnis und Gini-Koeffizient sind im Glossar dieser Publikation erläutert.</t>
  </si>
  <si>
    <t>Lesebeispiel:</t>
  </si>
  <si>
    <t>Farbcodierung in den Tabellenblättern:</t>
  </si>
  <si>
    <t>Bereich, in dem sich die Tabelle geändert hat.</t>
  </si>
  <si>
    <t>Lesebeispiel</t>
  </si>
  <si>
    <t>Steuerbarer Grundstücksgewinn nach Gemeinde und Rechnungsjahr</t>
  </si>
  <si>
    <t>Berechnungsgrundlagen der Quellensteuer nach Rechnungsjahr</t>
  </si>
  <si>
    <t>Tabellenblatt entfällt</t>
  </si>
  <si>
    <t>Einbehalt Abgeltungssteuerabkommen AT</t>
  </si>
  <si>
    <t>Gesamte Erträge</t>
  </si>
  <si>
    <t>./. Mindestertragssteuer PVS und Trust</t>
  </si>
  <si>
    <t>Einnahmen aus Veranlagungen</t>
  </si>
  <si>
    <t>Einnahmen pro Veranlagung</t>
  </si>
  <si>
    <t>CO2-Ertrag auf Treibstoffabsatz</t>
  </si>
  <si>
    <t>Rechnungsjahr: Bis 2013 werden die Einnahmen ausgewiesen, ab 2014 die Erträge.</t>
  </si>
  <si>
    <t>Grundstücksgewinnsteuer, Quellensteuern sowie Besondere Gesellschaftssteuern seit 1990</t>
  </si>
  <si>
    <t>Quellensteuern</t>
  </si>
  <si>
    <t>Quellensteuern: Bis Rechnungsjahr 2011 umfasste die Quellensteuer nur die Quellensteuer der Zupendler aus Österreich.</t>
  </si>
  <si>
    <t>./. Veränderung der Wertberichtigung</t>
  </si>
  <si>
    <t>Gesamte Erträge nach Wertberichtigung</t>
  </si>
  <si>
    <t>3.5 Begünstigungen</t>
  </si>
  <si>
    <t>./. Veränderung der Forderungen</t>
  </si>
  <si>
    <t>Im Steuerjahr 2011 trat das geltende Steuergesetz in Kraft. Die Einführung eines Freibetrags auf Hausrat und Fahrzeuge wirkte sich inbesondere auf tiefere Vermögen aus, was bei Vergleichen mit früheren Jahren zu berücksichtigen ist.</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</si>
  <si>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</si>
  <si>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</si>
  <si>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</si>
  <si>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</si>
  <si>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</si>
  <si>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</si>
  <si>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Im Steuerjahr 2011 trat das geltende Steuergesetz in Kraft. Die Einführung eines Freibetrags auf Hausrat und Fahrzeuge wirkte sich insbesondere auf den Median und das Dezilverhältnis aus, was bei Vergleichen mit früheren Jahren zu berücksichtigen ist.</t>
  </si>
  <si>
    <t>Vermögensindikatoren der Haushalte seit 2011</t>
  </si>
  <si>
    <t>T 7.12</t>
  </si>
  <si>
    <t>Vermögensverteilung und Durchschnittsvermögen der Haushalte nach Vermögensklassen seit 2011</t>
  </si>
  <si>
    <t>T 7.13</t>
  </si>
  <si>
    <t>Anzahl Haushalte</t>
  </si>
  <si>
    <t>Erwerbsindikatoren der Haushalte seit 2011</t>
  </si>
  <si>
    <t>T 7.17</t>
  </si>
  <si>
    <t>Erwerbsverteilung und Durchschnittserwerb der Haushalte nach Erwerbsklassen seit 2011</t>
  </si>
  <si>
    <t>T 7.18</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</si>
  <si>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</si>
  <si>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</si>
  <si>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</si>
  <si>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</si>
  <si>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</si>
  <si>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</si>
  <si>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</si>
  <si>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</si>
  <si>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</si>
  <si>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3.6 Rückkaufsfähige Lebensversicherungen</t>
  </si>
  <si>
    <t>3.7 Unverteilte Erbschaften</t>
  </si>
  <si>
    <t>3.8 Hausrat und Fahrzeuge</t>
  </si>
  <si>
    <t>3.9 Übrige Vermögenswerte</t>
  </si>
  <si>
    <t>1 - 1'000 CHF</t>
  </si>
  <si>
    <t>1'001 - 5'000 CHF</t>
  </si>
  <si>
    <t>5'001 - 10'000 CHF</t>
  </si>
  <si>
    <t>100'001+ CHF</t>
  </si>
  <si>
    <t>Gesamte Fiskaleinnahmen: Gesamte Steuereinnahmen und obligatorische Sozialversicherungsbeiträge gemäss ESVG-Definition.</t>
  </si>
  <si>
    <t>Steuern zu Gesamteinnahmen Land: Steuereinnahmen des Landes gemäss ESVG-Definition in % der Gesamteinnahmen des Landes.</t>
  </si>
  <si>
    <t>3 Bewegl. Privatvermögen</t>
  </si>
  <si>
    <t>3.1 Bankguthaben</t>
  </si>
  <si>
    <t>3.2 Wertschriften</t>
  </si>
  <si>
    <t>4 Bruttovermögen</t>
  </si>
  <si>
    <t>Verteilung von Bruttovermögen und Schulden der Personen nach Grössenklassen</t>
  </si>
  <si>
    <t>T 6.2.6</t>
  </si>
  <si>
    <t>T 6.2.5</t>
  </si>
  <si>
    <t>T 6.3.5</t>
  </si>
  <si>
    <t>Verteilung von Bruttovermögen und Schulden der Haushalte nach Grössenklassen</t>
  </si>
  <si>
    <t>T 6.3.6</t>
  </si>
  <si>
    <t>Verteilung von Vermögen und Erwerb der Personen nach Grössenklassen</t>
  </si>
  <si>
    <t>T 6.6.1</t>
  </si>
  <si>
    <t>T 6.6.2</t>
  </si>
  <si>
    <t>Verteilung von Vermögen und Erwerb der Haushalte nach Grössenklassen</t>
  </si>
  <si>
    <t>Durchschnitt und Quantile verschiedener Vermögenspositionen von Personen</t>
  </si>
  <si>
    <t>Durchschnitt und Quantile verschiedener Vermögenspositionen von Haushalten</t>
  </si>
  <si>
    <t>T 6.7.1</t>
  </si>
  <si>
    <t>T 6.7.2</t>
  </si>
  <si>
    <t>T 6.7.3</t>
  </si>
  <si>
    <t>T 6.7.4</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</si>
  <si>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</si>
  <si>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</si>
  <si>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</si>
  <si>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</si>
  <si>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Steuer nach dem Aufwand</t>
  </si>
  <si>
    <t>T 2.2.4: Die Aufgliederung der Ertragssteuer nach Gemeinde erfolgt aufgrund des statutarischen Sitzes des steuerpflichtigen Unternehmens, wobei Betriebsstättenergebnisse entsprechend zugewiesen werden.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</si>
  <si>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</si>
  <si>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</si>
  <si>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</si>
  <si>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</si>
  <si>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</si>
  <si>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</si>
  <si>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</si>
  <si>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</si>
  <si>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</si>
  <si>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</si>
  <si>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</si>
  <si>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</si>
  <si>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Schenkungssteuer: Mit dem geltenden Steuergesetz wurde die Schenkungssteuer per 1. Januar 2011 abgeschafft. Bis 2013 werden die Einnahmen ausgewiesen, ab 2014 die Erträge.</t>
  </si>
  <si>
    <t>Nachlass- und Erbanfallsteuer: Mit dem geltenden Steuergesetz wurden die Nachlass- und Erbanfallsteuer per 1. Januar 2011 abgeschafft.</t>
  </si>
  <si>
    <t>Gründungsabgabe, Steuer ausl. Versicherer: Bis 2013 werden die Einnahmen ausgewiesen, ab 2014 die Erträge. Die Steuer ausl. Versicherer wurde mit dem neuen Steuergesetz aufgehoben; bei den Beträgen in den Jahren 2013, 2014 und 2016 handelt es sich um Fälle gemäss früherem Steuergesetz.</t>
  </si>
  <si>
    <t>1 Kennzahlen</t>
  </si>
  <si>
    <t>2 Die Ergebnisse der einzelnen Steuerarten</t>
  </si>
  <si>
    <t>2.1.1</t>
  </si>
  <si>
    <t>2.1.2</t>
  </si>
  <si>
    <t>2.1.3</t>
  </si>
  <si>
    <t>2.1.4</t>
  </si>
  <si>
    <t>2.2.1</t>
  </si>
  <si>
    <t>2.2.2</t>
  </si>
  <si>
    <t>2.2.3</t>
  </si>
  <si>
    <t>2.2.4</t>
  </si>
  <si>
    <t>2.2.5</t>
  </si>
  <si>
    <t>2.2.6</t>
  </si>
  <si>
    <t>2.2.7</t>
  </si>
  <si>
    <t>2.3.1</t>
  </si>
  <si>
    <t>2.3.2</t>
  </si>
  <si>
    <t>2.3.3</t>
  </si>
  <si>
    <t>2.3.4</t>
  </si>
  <si>
    <t>2.4.1</t>
  </si>
  <si>
    <t>2.4.2</t>
  </si>
  <si>
    <t>2.4.3</t>
  </si>
  <si>
    <t>2.4.4</t>
  </si>
  <si>
    <t>Quellensteuer</t>
  </si>
  <si>
    <t>2.5.1</t>
  </si>
  <si>
    <t>2.5.2</t>
  </si>
  <si>
    <t>2.6.1</t>
  </si>
  <si>
    <t>2.8.1</t>
  </si>
  <si>
    <t>2.9.1</t>
  </si>
  <si>
    <t>2.9.2</t>
  </si>
  <si>
    <t>2.9.3</t>
  </si>
  <si>
    <t>2.10.1</t>
  </si>
  <si>
    <t>Mehrwertsteuer</t>
  </si>
  <si>
    <t>2.11.1</t>
  </si>
  <si>
    <t>2.11.2</t>
  </si>
  <si>
    <t>2.11.3</t>
  </si>
  <si>
    <t>2.13.1</t>
  </si>
  <si>
    <t>2.13.2</t>
  </si>
  <si>
    <t>Übrige Steuerarten</t>
  </si>
  <si>
    <t>2.14.1</t>
  </si>
  <si>
    <t>2.14.2</t>
  </si>
  <si>
    <t>3 Die Struktur der Steuereinnahmen</t>
  </si>
  <si>
    <t>Direkte und indirekte Steuern</t>
  </si>
  <si>
    <t>3.1.2</t>
  </si>
  <si>
    <t>Steuern gemäss den Kategorien der OECD</t>
  </si>
  <si>
    <t>3.2.2</t>
  </si>
  <si>
    <t>Steuern gemäss den Kategorien der Volkswirtschaftlichen Gesamtrechnung</t>
  </si>
  <si>
    <t>3.3.2</t>
  </si>
  <si>
    <t>4 Die Vermögens- und Erwerbssteuerbelastung natürlicher Personen</t>
  </si>
  <si>
    <t>Steuerbelastung unverheirateter Personen</t>
  </si>
  <si>
    <t>4.1.1</t>
  </si>
  <si>
    <t>4.1.2</t>
  </si>
  <si>
    <t>Steuerbelastung von Ehepaaren ohne Kinder</t>
  </si>
  <si>
    <t>4.2.1</t>
  </si>
  <si>
    <t>4.2.2</t>
  </si>
  <si>
    <t>Steuerbelastung von Ehepaaren mit 2 Kindern</t>
  </si>
  <si>
    <t>4.3.1</t>
  </si>
  <si>
    <t>4.3.2</t>
  </si>
  <si>
    <t>Steuerbelastung von Alleinerziehenden mit 2 Kindern</t>
  </si>
  <si>
    <t>4.4.1</t>
  </si>
  <si>
    <t>4.4.2</t>
  </si>
  <si>
    <t>5 Die Ertragssteuerbelastung juristischer Personen</t>
  </si>
  <si>
    <t>Ertragssteuerbelastung von Unternehmen mit CHF 100 000 Kapital</t>
  </si>
  <si>
    <t>Ertragssteuerbelastung bei einem Kapital von CHF 100 000 nach Renditeklassen</t>
  </si>
  <si>
    <t>5.1.1</t>
  </si>
  <si>
    <t>Berechnung der Ertragssteuerbelastung bei einem Kapital von CHF 100 000</t>
  </si>
  <si>
    <t>5.1.2</t>
  </si>
  <si>
    <t>Ertragssteuerbelastung von Unternehmen mit CHF 2 000 000 Kapital</t>
  </si>
  <si>
    <t>Ertragssteuerbelastung bei einem Kapital von CHF 2 000 000 nach Renditeklassen</t>
  </si>
  <si>
    <t>5.2.1</t>
  </si>
  <si>
    <t>Berechnung der Ertragssteuerbelastung bei einem Kapital von CHF 2 000 000</t>
  </si>
  <si>
    <t>5.2.2</t>
  </si>
  <si>
    <t>6 Die Vermögens- und Erwerbsverteilung</t>
  </si>
  <si>
    <t>6.1.1</t>
  </si>
  <si>
    <t>6.1.2</t>
  </si>
  <si>
    <t>6.2.1</t>
  </si>
  <si>
    <t>6.2.2</t>
  </si>
  <si>
    <t>6.2.3</t>
  </si>
  <si>
    <t>6.2.4</t>
  </si>
  <si>
    <t>6.2.5</t>
  </si>
  <si>
    <t>6.2.6</t>
  </si>
  <si>
    <t>6.3.1</t>
  </si>
  <si>
    <t>6.3.2</t>
  </si>
  <si>
    <t>6.3.3</t>
  </si>
  <si>
    <t>6.3.4</t>
  </si>
  <si>
    <t>6.3.5</t>
  </si>
  <si>
    <t>6.3.6</t>
  </si>
  <si>
    <t>6.4.1</t>
  </si>
  <si>
    <t>6.4.2</t>
  </si>
  <si>
    <t>6.4.3</t>
  </si>
  <si>
    <t>6.4.4</t>
  </si>
  <si>
    <t>6.5.1</t>
  </si>
  <si>
    <t>6.5.2</t>
  </si>
  <si>
    <t>6.5.3</t>
  </si>
  <si>
    <t>6.5.4</t>
  </si>
  <si>
    <t>6.6.1</t>
  </si>
  <si>
    <t>6.6.2</t>
  </si>
  <si>
    <t>6.7.1</t>
  </si>
  <si>
    <t>6.7.2</t>
  </si>
  <si>
    <t>6.7.3</t>
  </si>
  <si>
    <t>6.7.4</t>
  </si>
  <si>
    <t>7 Zeitreihen</t>
  </si>
  <si>
    <t>7.1</t>
  </si>
  <si>
    <t>7.2</t>
  </si>
  <si>
    <t>7.3</t>
  </si>
  <si>
    <t>7.4</t>
  </si>
  <si>
    <t>7.5</t>
  </si>
  <si>
    <t>7.6</t>
  </si>
  <si>
    <t>7.10</t>
  </si>
  <si>
    <t>7.11</t>
  </si>
  <si>
    <t>7.12</t>
  </si>
  <si>
    <t>7.13</t>
  </si>
  <si>
    <t xml:space="preserve">Erwerbsindikatoren der Personen seit 2000 </t>
  </si>
  <si>
    <t>7.15</t>
  </si>
  <si>
    <t xml:space="preserve">Erwerbsverteilung und Durchschnittserwerb der Personen nach Erwerbsklassen seit 2000 </t>
  </si>
  <si>
    <t>7.16</t>
  </si>
  <si>
    <t xml:space="preserve">Erwerbsindikatoren der Haushalte seit 2011 </t>
  </si>
  <si>
    <t>7.17</t>
  </si>
  <si>
    <t xml:space="preserve">Erwerbsverteilung und Durchschnittserwerb der Haushalte nach Erwerbsklassen seit 2011 </t>
  </si>
  <si>
    <t>7.18</t>
  </si>
  <si>
    <t>RJ 2017</t>
  </si>
  <si>
    <t>Geldspielabgabe</t>
  </si>
  <si>
    <t>Effektenumsatzabgabe</t>
  </si>
  <si>
    <t>RJ 2018</t>
  </si>
  <si>
    <t>RJ 2019</t>
  </si>
  <si>
    <t>StJ 2018</t>
  </si>
  <si>
    <t>Steuerjahr 2018</t>
  </si>
  <si>
    <t>Steuerverwaltung, Amt für Strassenverkehr</t>
  </si>
  <si>
    <t>Landesrechnung, Amt für Strassenverkehr, Fahrzeugstatistik</t>
  </si>
  <si>
    <t>Steuerjahr 2018: Ausgewiesen sind alle Ertragssteuerzahlungen bis zum 30. Juni 2020 für das Steuerjahr 2018. Diese basieren auf einer Veranlagung oder auf einer provisorischen Rechnung gemäss Art. 127 Abs. 2 SteG.</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</si>
  <si>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</si>
  <si>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</si>
  <si>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</si>
  <si>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</si>
  <si>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 xml:space="preserve">Steuersubjekt: Juristische Person, welche ein Kapital, inkl. Reserven, von CHF 2000000 aufweist. </t>
  </si>
  <si>
    <t>Vermögens- und Erwerbssteuer – Verteilung der steuerpflichtigen Personen nach Steuerbetrag und Altersgruppe</t>
  </si>
  <si>
    <t>Vermögens- und Erwerbssteuer – Verteilung der Steuern nach Steuerbetrag und Altersgruppe der steuerpflichtigen Personen</t>
  </si>
  <si>
    <t>Vermögens- und Erwerbssteuer – Verteilung der steuerpflichtigen Haushalte nach Steuerbetrag und Haushaltsgrösse</t>
  </si>
  <si>
    <t>Vermögens- und Erwerbssteuer – Verteilung der Steuern nach Steuerbetrag und Grösse der steuerpflichtigen Haushalte</t>
  </si>
  <si>
    <t>Titel</t>
  </si>
  <si>
    <t>Tabelle</t>
  </si>
  <si>
    <t>Gründungsabgabe, Mehrwertsteuer sowie Steuer der ausländischen Versicherungs-gesellschaften seit 1990</t>
  </si>
  <si>
    <t>RJ 2020</t>
  </si>
  <si>
    <t>StJ 2019</t>
  </si>
  <si>
    <t>Steuerjahr 2019</t>
  </si>
  <si>
    <t>in CHF und in % des Bruttoerwerbs, Steuerjahr 2019</t>
  </si>
  <si>
    <t>in CHF, Steuerjahr 2019</t>
  </si>
  <si>
    <t>in CHF und in % des Reinertrags, Steuerjahr 2019</t>
  </si>
  <si>
    <t>Tabellenverzeichnis Steuerstatistik 2020</t>
  </si>
  <si>
    <t>80% der Steuerpflichtigen deklarieren für das Steuerjahr 2019 einen Anteil von 11.2% des gesamten Vermögens. Dies entspricht einer deklarierten Vermögenssumme von CHF 1753.7 Mio.</t>
  </si>
  <si>
    <t>50.4% der Steuerpflichtigen deklarieren für das Steuerjahr 2019 ein Vermögen, das unter CHF 50001 liegt. Das durchschnittliche Vermögen in dieser Vermögensklasse beläuft sich auf CHF 9484.</t>
  </si>
  <si>
    <t>Ein Viertel der 65- bis 84-Jährigen weist für das Steuerjahr 2019 ein Vermögen von weniger als CHF 41093 aus. Die oberen 5% in dieser Altersgruppe deklarieren ein Vermögen von mindestens CHF 3424609.</t>
  </si>
  <si>
    <t>26.8% der 65- bis 84-Jährigen weisen für das Steuerjahr 2019 ein Vermögen von weniger als CHF 50001 aus. 15.5% der Steuerpflichtigen in dieser Altersgruppe deklarieren ein Vermögen von mehr als CHF 1 Mio.</t>
  </si>
  <si>
    <t>35.6% der Steuerpflichtigen weisen für das Steuerjahr 2019 Bruttovermögen und Schulden von jeweils weniger als CHF 50001 aus. 0.4% der Steuerpflichtigen weisen ein Bruttovermögen zwischen CHF 500001 und CHF 1 Mio. aus, während ihre Schulden mehr als CHF 1 Mio. betragen.</t>
  </si>
  <si>
    <t>Ein Viertel der Zwei-Personen-Haushalte weist für das Steuerjahr 2019 ein Vermögen von weniger als CHF 24905 aus. Das oberste Viertel der Zwei-Personen-Haushalte deklariert ein Vermögen von mehr als CHF 735207.</t>
  </si>
  <si>
    <t>Drei Viertel der steuerpflichtigen Haushalte weisen für das Steuerjahr 2019 Bankguthaben von weniger als CHF 236875 aus.</t>
  </si>
  <si>
    <t>23.5% der steuerpflichtigen Haushalte weisen für das Steuerjahr 2019 Bruttovermögen und Schulden von jeweils weniger als CHF 50'001 aus. 1.1% der steuerpflichtigen Haushalte weisen ein Bruttovermögen zwischen CHF 500001 und CHF 1 Mio. aus, während ihre Schulden mehr als CHF 1 Mio. betragen.</t>
  </si>
  <si>
    <t>15.3% der Steuerpflichtigen weisen für das Steuerjahr 2019 ein Vermögen von weniger als CHF 50001 und einen Erwerb zwischen CHF 60001 und CHF 120000 aus.</t>
  </si>
  <si>
    <t>15.4% der steuerpflichtigen Haushalte weisen für das Steuerjahr 2019 ein Vermögen von weniger als CHF 50001 und einen Erwerb zwischen CHF 60001 und CHF 120000 aus.</t>
  </si>
  <si>
    <t>45.7% der 30- bis 49-jährigen steuerpflichtigen Personen haben für das Steuerjahr 2019 Vermögens- und Erwerbssteuern in Höhe von CHF 1001 bis CHF 5000 bezahlt.</t>
  </si>
  <si>
    <t xml:space="preserve">Die 30- bis 49-jährigen steuerpflichtigen Personen, welche Vermögens- und Erwerbssteuern in Höhe von CHF 1 001 bis CHF 5 000 bezahlen, tragen im Steuerjahr 2019 einen Anteil von 6.9% zu den hier berücksichtigten Erträgen aus der Vermögens- und Erwerbssteuer bei. Vermögens- und Erwerbssteuern, die nicht inländischen natürlichen Personen zugeordnet werden können, sind ausgeklammert.
</t>
  </si>
  <si>
    <t>31.2% der Zweipersonenhaushalte haben für das Steuerjahr 2019 Vermögens- und Erwerbssteuern in Höhe von CHF 1001 bis CHF 5000 bezahlt.</t>
  </si>
  <si>
    <t>Die Zweipersonenhaushalte, die Vermögens- und Erwerbssteuern in Höhe von CHF 1001 bis CHF 5000 bezahlen, tragen im Steuerjahr 2019 einen Anteil von 2.7% zu den hier berücksichtigten Erträgen aus der Vermögens- und Erwerbssteuer bei. Vermögens- und Erwerbssteuern, die nicht inländischen natürlichen Personen zugeordnet werden können, sind ausgeklammert.</t>
  </si>
  <si>
    <t>Korrektur Poolanteil Vorjahr</t>
  </si>
  <si>
    <t>CO2-Abgabe: Der Betrag entspricht dem Anteil, welcher nicht rückverteilt wird. Die gesamten Einnahmen aus der CO2-Abgabe belaufen sich im RJ 2020 auf CHF 7671976.</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</si>
  <si>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2020 sind es 15184 definitive Veranlagungen und 3926 provisorische Rechnungen. Die Einhebung der Mindestertragssteuer PVS und Trust erfolgt ohne Veranlagung.</t>
  </si>
  <si>
    <t>Steuerjahr 2019: Ausgewiesen sind alle Ertragssteuerzahlungen bis zum 30. Juni 2021 für das Steuerjahr 2019. Diese basieren auf einer Veranlagung oder auf einer provisorischen Rechnung gemäss Art. 127 Abs. 2 SteG.</t>
  </si>
  <si>
    <t>T 2.2.6: Die Tabelle basiert für das Steuerjahr 2019 auf 12803 Veranlagungen mit einem positiven Steuerbetrag und auf 1527 Veranlagungen mit einem Steuerbetrag von weniger als CHF 0.01. Im Steuerjahr 2018 waren es 13254 Veranlagungen mit einem positiven Steuerbetrag und 1426 Veranlagungen mit einem Steuerbetrag von weniger als CHF 0.01.</t>
  </si>
  <si>
    <t>Bruttoinlandsprodukt: 2018 provisorisch, 2019 geschätzt, 2020 noch nicht verfügbar.</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</si>
  <si>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</si>
  <si>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</si>
  <si>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</si>
  <si>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 xml:space="preserve">LSVA: Durch eine Anpassung bei der Klassifizierung der Leistungsabhängigen Schwerverkehrsabgabe (LSVA) im Rahmen der Volkswirtschaftlichen Gesamtrechnung (VGR), wird diese nicht mehr als Steuer erfasst und erscheint daher nicht mehr in der vorliegenden Steuerstatistik als Steuereinnahme. </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</si>
  <si>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</si>
  <si>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Für das Steuerjahr 2019 deklariert die Hälfte der Bevölkerung ein Vermögen, das unter CHF 48404 liegt. Die obersten 10% der deklarierten Vermögen sind im Minimum gerundet mindestens 16-mal höher als das mittlere Vermögen (Dezilverhältnis).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</si>
</sst>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43" formatCode="_ * #,##0.00_ ;_ * \-#,##0.00_ ;_ * &quot;-&quot;??_ ;_ @_ "/>
    <numFmt numFmtId="164" formatCode="0.0%"/>
    <numFmt numFmtId="165" formatCode="#,##0.0"/>
    <numFmt numFmtId="166" formatCode="0.000%"/>
    <numFmt numFmtId="167" formatCode="0.0"/>
    <numFmt numFmtId="168" formatCode="0.000"/>
    <numFmt numFmtId="169" formatCode="[$CHF]\ #,##0"/>
    <numFmt numFmtId="170" formatCode="#,##0_ ;\-#,##0\ "/>
    <numFmt numFmtId="171" formatCode="_ * #,##0;_ * \-#,##0;_ * &quot;-&quot;;_ @_ "/>
    <numFmt numFmtId="172" formatCode="#,##0.00;\-#,##0.00;&quot;-&quot;"/>
    <numFmt numFmtId="173" formatCode="0.0%;\-0.0%;&quot;-&quot;"/>
    <numFmt numFmtId="174" formatCode="#,##0;\-#,##0;&quot;-&quot;"/>
    <numFmt numFmtId="175" formatCode="#,##0.0;\-#,##0.0;&quot;-&quot;"/>
    <numFmt numFmtId="176" formatCode="_(* #,##0_);_(* \(#,##0\);_(* &quot;-&quot;_);_(@_)"/>
    <numFmt numFmtId="177" formatCode="0%;\-0%;&quot;-&quot;"/>
  </numFmts>
  <fonts count="75">
    <font>
      <sz val="10"/>
      <name val="Arial"/>
    </font>
    <font>
      <sz val="11"/>
      <color theme="1"/>
      <name val="Calibri"/>
      <family val="2"/>
      <scheme val="minor"/>
    </font>
    <font>
      <sz val="10"/>
      <name val="Arial"/>
    </font>
    <font>
      <sz val="8"/>
      <name val="Arial"/>
      <family val="2"/>
    </font>
    <font>
      <b/>
      <sz val="10"/>
      <name val="Arial"/>
      <family val="2"/>
    </font>
    <font>
      <sz val="10"/>
      <name val="Arial"/>
      <family val="2"/>
    </font>
    <font>
      <u/>
      <sz val="10"/>
      <color indexed="12"/>
      <name val="Arial"/>
      <family val="2"/>
    </font>
    <font>
      <i/>
      <sz val="10"/>
      <name val="Arial"/>
      <family val="2"/>
    </font>
    <font>
      <sz val="10"/>
      <name val="Arial"/>
      <family val="2"/>
    </font>
    <font>
      <sz val="10"/>
      <name val="Arial"/>
      <family val="2"/>
    </font>
    <font>
      <sz val="9"/>
      <name val="Arial"/>
      <family val="2"/>
    </font>
    <font>
      <sz val="10"/>
      <name val="Arial"/>
      <family val="2"/>
    </font>
    <font>
      <sz val="10"/>
      <color indexed="8"/>
      <name val="Arial"/>
      <family val="2"/>
    </font>
    <font>
      <u/>
      <sz val="10"/>
      <name val="Arial"/>
      <family val="2"/>
    </font>
    <font>
      <sz val="10"/>
      <name val="Arial"/>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1"/>
      <name val="Arial"/>
      <family val="2"/>
    </font>
    <font>
      <sz val="11"/>
      <name val="Arial"/>
      <family val="2"/>
    </font>
    <font>
      <b/>
      <sz val="12"/>
      <color theme="1"/>
      <name val="Calibri"/>
      <family val="2"/>
      <scheme val="minor"/>
    </font>
  </fonts>
  <fills count="56">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FF00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249977111117893"/>
        <bgColor indexed="64"/>
      </patternFill>
    </fill>
    <fill>
      <patternFill patternType="solid">
        <fgColor theme="7" tint="0.59999389629810485"/>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medium">
        <color theme="0" tint="-0.499984740745262"/>
      </top>
      <bottom style="medium">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s>
  <cellStyleXfs count="245">
    <xf numFmtId="0" fontId="0" fillId="0" borderId="0"/>
    <xf numFmtId="0" fontId="35" fillId="18" borderId="0" applyNumberFormat="0" applyBorder="0" applyAlignment="0" applyProtection="0"/>
    <xf numFmtId="0" fontId="36" fillId="18" borderId="0" applyNumberFormat="0" applyBorder="0" applyAlignment="0" applyProtection="0"/>
    <xf numFmtId="0" fontId="35" fillId="19" borderId="0" applyNumberFormat="0" applyBorder="0" applyAlignment="0" applyProtection="0"/>
    <xf numFmtId="0" fontId="36" fillId="19" borderId="0" applyNumberFormat="0" applyBorder="0" applyAlignment="0" applyProtection="0"/>
    <xf numFmtId="0" fontId="35" fillId="20" borderId="0" applyNumberFormat="0" applyBorder="0" applyAlignment="0" applyProtection="0"/>
    <xf numFmtId="0" fontId="36" fillId="20" borderId="0" applyNumberFormat="0" applyBorder="0" applyAlignment="0" applyProtection="0"/>
    <xf numFmtId="0" fontId="35" fillId="21" borderId="0" applyNumberFormat="0" applyBorder="0" applyAlignment="0" applyProtection="0"/>
    <xf numFmtId="0" fontId="36" fillId="21" borderId="0" applyNumberFormat="0" applyBorder="0" applyAlignment="0" applyProtection="0"/>
    <xf numFmtId="0" fontId="35" fillId="22" borderId="0" applyNumberFormat="0" applyBorder="0" applyAlignment="0" applyProtection="0"/>
    <xf numFmtId="0" fontId="36" fillId="22" borderId="0" applyNumberFormat="0" applyBorder="0" applyAlignment="0" applyProtection="0"/>
    <xf numFmtId="0" fontId="35" fillId="23" borderId="0" applyNumberFormat="0" applyBorder="0" applyAlignment="0" applyProtection="0"/>
    <xf numFmtId="0" fontId="36" fillId="2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35" fillId="24" borderId="0" applyNumberFormat="0" applyBorder="0" applyAlignment="0" applyProtection="0"/>
    <xf numFmtId="0" fontId="36" fillId="24" borderId="0" applyNumberFormat="0" applyBorder="0" applyAlignment="0" applyProtection="0"/>
    <xf numFmtId="0" fontId="35" fillId="25" borderId="0" applyNumberFormat="0" applyBorder="0" applyAlignment="0" applyProtection="0"/>
    <xf numFmtId="0" fontId="36" fillId="25" borderId="0" applyNumberFormat="0" applyBorder="0" applyAlignment="0" applyProtection="0"/>
    <xf numFmtId="0" fontId="35" fillId="26" borderId="0" applyNumberFormat="0" applyBorder="0" applyAlignment="0" applyProtection="0"/>
    <xf numFmtId="0" fontId="36" fillId="26" borderId="0" applyNumberFormat="0" applyBorder="0" applyAlignment="0" applyProtection="0"/>
    <xf numFmtId="0" fontId="35" fillId="27" borderId="0" applyNumberFormat="0" applyBorder="0" applyAlignment="0" applyProtection="0"/>
    <xf numFmtId="0" fontId="36" fillId="27" borderId="0" applyNumberFormat="0" applyBorder="0" applyAlignment="0" applyProtection="0"/>
    <xf numFmtId="0" fontId="35" fillId="28" borderId="0" applyNumberFormat="0" applyBorder="0" applyAlignment="0" applyProtection="0"/>
    <xf numFmtId="0" fontId="36" fillId="28" borderId="0" applyNumberFormat="0" applyBorder="0" applyAlignment="0" applyProtection="0"/>
    <xf numFmtId="0" fontId="35" fillId="29" borderId="0" applyNumberFormat="0" applyBorder="0" applyAlignment="0" applyProtection="0"/>
    <xf numFmtId="0" fontId="36" fillId="29" borderId="0" applyNumberFormat="0" applyBorder="0" applyAlignment="0" applyProtection="0"/>
    <xf numFmtId="0" fontId="19" fillId="4"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37" fillId="30" borderId="0" applyNumberFormat="0" applyBorder="0" applyAlignment="0" applyProtection="0"/>
    <xf numFmtId="0" fontId="38" fillId="30" borderId="0" applyNumberFormat="0" applyBorder="0" applyAlignment="0" applyProtection="0"/>
    <xf numFmtId="0" fontId="37" fillId="31" borderId="0" applyNumberFormat="0" applyBorder="0" applyAlignment="0" applyProtection="0"/>
    <xf numFmtId="0" fontId="38" fillId="31" borderId="0" applyNumberFormat="0" applyBorder="0" applyAlignment="0" applyProtection="0"/>
    <xf numFmtId="0" fontId="37" fillId="32" borderId="0" applyNumberFormat="0" applyBorder="0" applyAlignment="0" applyProtection="0"/>
    <xf numFmtId="0" fontId="38" fillId="32" borderId="0" applyNumberFormat="0" applyBorder="0" applyAlignment="0" applyProtection="0"/>
    <xf numFmtId="0" fontId="37" fillId="33" borderId="0" applyNumberFormat="0" applyBorder="0" applyAlignment="0" applyProtection="0"/>
    <xf numFmtId="0" fontId="38" fillId="33" borderId="0" applyNumberFormat="0" applyBorder="0" applyAlignment="0" applyProtection="0"/>
    <xf numFmtId="0" fontId="37" fillId="34" borderId="0" applyNumberFormat="0" applyBorder="0" applyAlignment="0" applyProtection="0"/>
    <xf numFmtId="0" fontId="38" fillId="34" borderId="0" applyNumberFormat="0" applyBorder="0" applyAlignment="0" applyProtection="0"/>
    <xf numFmtId="0" fontId="37" fillId="35" borderId="0" applyNumberFormat="0" applyBorder="0" applyAlignment="0" applyProtection="0"/>
    <xf numFmtId="0" fontId="38" fillId="35" borderId="0" applyNumberFormat="0" applyBorder="0" applyAlignment="0" applyProtection="0"/>
    <xf numFmtId="0" fontId="20" fillId="4"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2" borderId="0" applyNumberFormat="0" applyBorder="0" applyAlignment="0" applyProtection="0"/>
    <xf numFmtId="0" fontId="20" fillId="4" borderId="0" applyNumberFormat="0" applyBorder="0" applyAlignment="0" applyProtection="0"/>
    <xf numFmtId="0" fontId="20" fillId="7" borderId="0" applyNumberFormat="0" applyBorder="0" applyAlignment="0" applyProtection="0"/>
    <xf numFmtId="0" fontId="20" fillId="13"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37" fillId="36" borderId="0" applyNumberFormat="0" applyBorder="0" applyAlignment="0" applyProtection="0"/>
    <xf numFmtId="0" fontId="38" fillId="36" borderId="0" applyNumberFormat="0" applyBorder="0" applyAlignment="0" applyProtection="0"/>
    <xf numFmtId="0" fontId="37" fillId="37" borderId="0" applyNumberFormat="0" applyBorder="0" applyAlignment="0" applyProtection="0"/>
    <xf numFmtId="0" fontId="38" fillId="37" borderId="0" applyNumberFormat="0" applyBorder="0" applyAlignment="0" applyProtection="0"/>
    <xf numFmtId="0" fontId="37" fillId="38" borderId="0" applyNumberFormat="0" applyBorder="0" applyAlignment="0" applyProtection="0"/>
    <xf numFmtId="0" fontId="38" fillId="38" borderId="0" applyNumberFormat="0" applyBorder="0" applyAlignment="0" applyProtection="0"/>
    <xf numFmtId="0" fontId="37" fillId="39" borderId="0" applyNumberFormat="0" applyBorder="0" applyAlignment="0" applyProtection="0"/>
    <xf numFmtId="0" fontId="38" fillId="39" borderId="0" applyNumberFormat="0" applyBorder="0" applyAlignment="0" applyProtection="0"/>
    <xf numFmtId="0" fontId="37" fillId="40" borderId="0" applyNumberFormat="0" applyBorder="0" applyAlignment="0" applyProtection="0"/>
    <xf numFmtId="0" fontId="38" fillId="40" borderId="0" applyNumberFormat="0" applyBorder="0" applyAlignment="0" applyProtection="0"/>
    <xf numFmtId="0" fontId="37" fillId="41" borderId="0" applyNumberFormat="0" applyBorder="0" applyAlignment="0" applyProtection="0"/>
    <xf numFmtId="0" fontId="38" fillId="41" borderId="0" applyNumberFormat="0" applyBorder="0" applyAlignment="0" applyProtection="0"/>
    <xf numFmtId="0" fontId="39" fillId="42" borderId="10" applyNumberFormat="0" applyAlignment="0" applyProtection="0"/>
    <xf numFmtId="0" fontId="40" fillId="42" borderId="10" applyNumberFormat="0" applyAlignment="0" applyProtection="0"/>
    <xf numFmtId="0" fontId="21" fillId="3" borderId="0" applyNumberFormat="0" applyBorder="0" applyAlignment="0" applyProtection="0"/>
    <xf numFmtId="0" fontId="41" fillId="42" borderId="11" applyNumberFormat="0" applyAlignment="0" applyProtection="0"/>
    <xf numFmtId="0" fontId="42" fillId="42" borderId="11" applyNumberFormat="0" applyAlignment="0" applyProtection="0"/>
    <xf numFmtId="0" fontId="43" fillId="0" borderId="0" applyNumberFormat="0" applyFill="0" applyBorder="0" applyAlignment="0" applyProtection="0"/>
    <xf numFmtId="0" fontId="22" fillId="16" borderId="2" applyNumberFormat="0" applyAlignment="0" applyProtection="0"/>
    <xf numFmtId="0" fontId="23" fillId="17" borderId="3" applyNumberFormat="0" applyAlignment="0" applyProtection="0"/>
    <xf numFmtId="176" fontId="5" fillId="0" borderId="0" applyFont="0" applyFill="0" applyBorder="0" applyAlignment="0" applyProtection="0"/>
    <xf numFmtId="0" fontId="44" fillId="43" borderId="11" applyNumberFormat="0" applyAlignment="0" applyProtection="0"/>
    <xf numFmtId="0" fontId="45" fillId="43" borderId="11" applyNumberFormat="0" applyAlignment="0" applyProtection="0"/>
    <xf numFmtId="0" fontId="46" fillId="0" borderId="12" applyNumberFormat="0" applyFill="0" applyAlignment="0" applyProtection="0"/>
    <xf numFmtId="0" fontId="47" fillId="0" borderId="1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50" fillId="44" borderId="0" applyNumberFormat="0" applyBorder="0" applyAlignment="0" applyProtection="0"/>
    <xf numFmtId="0" fontId="51" fillId="4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52" fillId="0" borderId="0" applyNumberFormat="0" applyFill="0" applyBorder="0" applyAlignment="0" applyProtection="0"/>
    <xf numFmtId="0" fontId="17" fillId="0" borderId="0" applyNumberFormat="0" applyFill="0" applyBorder="0" applyAlignment="0" applyProtection="0">
      <alignment vertical="top"/>
      <protection locked="0"/>
    </xf>
    <xf numFmtId="0" fontId="29" fillId="10" borderId="2" applyNumberFormat="0" applyAlignment="0" applyProtection="0"/>
    <xf numFmtId="43" fontId="2"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0" fontId="30" fillId="0" borderId="7" applyNumberFormat="0" applyFill="0" applyAlignment="0" applyProtection="0"/>
    <xf numFmtId="0" fontId="53" fillId="45" borderId="0" applyNumberFormat="0" applyBorder="0" applyAlignment="0" applyProtection="0"/>
    <xf numFmtId="0" fontId="54" fillId="45" borderId="0" applyNumberFormat="0" applyBorder="0" applyAlignment="0" applyProtection="0"/>
    <xf numFmtId="0" fontId="31" fillId="10"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5" fillId="0" borderId="0"/>
    <xf numFmtId="0" fontId="3" fillId="0" borderId="0"/>
    <xf numFmtId="0" fontId="3" fillId="0" borderId="0"/>
    <xf numFmtId="0" fontId="3" fillId="0" borderId="0"/>
    <xf numFmtId="0" fontId="35" fillId="0" borderId="0"/>
    <xf numFmtId="0" fontId="35" fillId="0" borderId="0"/>
    <xf numFmtId="0" fontId="3" fillId="0" borderId="0"/>
    <xf numFmtId="0" fontId="5" fillId="0" borderId="0"/>
    <xf numFmtId="0" fontId="5" fillId="0" borderId="0"/>
    <xf numFmtId="0" fontId="16" fillId="0" borderId="0"/>
    <xf numFmtId="0" fontId="16" fillId="0" borderId="0"/>
    <xf numFmtId="0" fontId="5" fillId="0" borderId="0"/>
    <xf numFmtId="0" fontId="16" fillId="0" borderId="0"/>
    <xf numFmtId="0" fontId="3" fillId="0" borderId="0"/>
    <xf numFmtId="0" fontId="15" fillId="0" borderId="0"/>
    <xf numFmtId="0" fontId="5" fillId="0" borderId="0"/>
    <xf numFmtId="0" fontId="5" fillId="0" borderId="0"/>
    <xf numFmtId="0" fontId="15" fillId="0" borderId="0"/>
    <xf numFmtId="0" fontId="35" fillId="0" borderId="0"/>
    <xf numFmtId="0" fontId="35" fillId="0" borderId="0"/>
    <xf numFmtId="0" fontId="15" fillId="0" borderId="0"/>
    <xf numFmtId="0" fontId="15" fillId="0" borderId="0"/>
    <xf numFmtId="0" fontId="35" fillId="0" borderId="0"/>
    <xf numFmtId="0" fontId="15" fillId="0" borderId="0"/>
    <xf numFmtId="0" fontId="35" fillId="0" borderId="0"/>
    <xf numFmtId="0" fontId="35" fillId="0" borderId="0"/>
    <xf numFmtId="0" fontId="15" fillId="0" borderId="0"/>
    <xf numFmtId="0" fontId="35" fillId="0" borderId="0"/>
    <xf numFmtId="0" fontId="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 fillId="0" borderId="0"/>
    <xf numFmtId="0" fontId="5" fillId="8" borderId="8" applyNumberFormat="0" applyFont="0" applyAlignment="0" applyProtection="0"/>
    <xf numFmtId="0" fontId="35" fillId="46" borderId="13" applyNumberFormat="0" applyFont="0" applyAlignment="0" applyProtection="0"/>
    <xf numFmtId="0" fontId="36" fillId="46" borderId="13" applyNumberFormat="0" applyFont="0" applyAlignment="0" applyProtection="0"/>
    <xf numFmtId="0" fontId="32" fillId="16" borderId="1" applyNumberFormat="0" applyAlignment="0" applyProtection="0"/>
    <xf numFmtId="9" fontId="2"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0" fontId="55" fillId="47" borderId="0" applyNumberFormat="0" applyBorder="0" applyAlignment="0" applyProtection="0"/>
    <xf numFmtId="0" fontId="56" fillId="47" borderId="0" applyNumberFormat="0" applyBorder="0" applyAlignment="0" applyProtection="0"/>
    <xf numFmtId="0" fontId="5" fillId="0" borderId="0"/>
    <xf numFmtId="0" fontId="36" fillId="0" borderId="0"/>
    <xf numFmtId="0" fontId="57" fillId="0" borderId="0"/>
    <xf numFmtId="0" fontId="35" fillId="0" borderId="0"/>
    <xf numFmtId="0" fontId="35" fillId="0" borderId="0"/>
    <xf numFmtId="0" fontId="57" fillId="0" borderId="0"/>
    <xf numFmtId="0" fontId="33" fillId="0" borderId="0"/>
    <xf numFmtId="0" fontId="5" fillId="0" borderId="0"/>
    <xf numFmtId="0" fontId="36" fillId="0" borderId="0"/>
    <xf numFmtId="0" fontId="5" fillId="0" borderId="0"/>
    <xf numFmtId="0" fontId="57" fillId="0" borderId="0"/>
    <xf numFmtId="0" fontId="12" fillId="0" borderId="0">
      <alignment vertical="top"/>
    </xf>
    <xf numFmtId="0" fontId="18" fillId="0" borderId="0" applyNumberFormat="0" applyFill="0" applyBorder="0" applyAlignment="0" applyProtection="0"/>
    <xf numFmtId="0" fontId="34" fillId="0" borderId="9" applyNumberFormat="0" applyFill="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0" borderId="14" applyNumberFormat="0" applyFill="0" applyAlignment="0" applyProtection="0"/>
    <xf numFmtId="0" fontId="61" fillId="0" borderId="15" applyNumberFormat="0" applyFill="0" applyAlignment="0" applyProtection="0"/>
    <xf numFmtId="0" fontId="62" fillId="0" borderId="15" applyNumberFormat="0" applyFill="0" applyAlignment="0" applyProtection="0"/>
    <xf numFmtId="0" fontId="63" fillId="0" borderId="16" applyNumberFormat="0" applyFill="0" applyAlignment="0" applyProtection="0"/>
    <xf numFmtId="0" fontId="64" fillId="0" borderId="16"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17" applyNumberFormat="0" applyFill="0" applyAlignment="0" applyProtection="0"/>
    <xf numFmtId="0" fontId="67" fillId="0" borderId="17" applyNumberFormat="0" applyFill="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30" fillId="0" borderId="0" applyNumberFormat="0" applyFill="0" applyBorder="0" applyAlignment="0" applyProtection="0"/>
    <xf numFmtId="0" fontId="70" fillId="48" borderId="18" applyNumberFormat="0" applyAlignment="0" applyProtection="0"/>
    <xf numFmtId="0" fontId="71"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cellStyleXfs>
  <cellXfs count="407">
    <xf numFmtId="0" fontId="0" fillId="0" borderId="0" xfId="0"/>
    <xf numFmtId="0" fontId="4" fillId="0" borderId="0" xfId="0" applyFont="1"/>
    <xf numFmtId="0" fontId="4" fillId="0" borderId="0" xfId="0" applyFont="1" applyAlignment="1">
      <alignment horizontal="right"/>
    </xf>
    <xf numFmtId="3" fontId="0" fillId="0" borderId="0" xfId="0" applyNumberFormat="1"/>
    <xf numFmtId="0" fontId="4" fillId="0" borderId="0" xfId="0" applyFont="1" applyAlignment="1">
      <alignment horizontal="center"/>
    </xf>
    <xf numFmtId="0" fontId="5" fillId="0" borderId="0" xfId="0" applyFont="1"/>
    <xf numFmtId="0" fontId="0" fillId="0" borderId="0" xfId="0" quotePrefix="1"/>
    <xf numFmtId="0" fontId="5" fillId="0" borderId="0" xfId="0" applyFont="1" applyAlignment="1">
      <alignment horizontal="center"/>
    </xf>
    <xf numFmtId="3" fontId="5" fillId="0" borderId="0" xfId="0" applyNumberFormat="1" applyFont="1"/>
    <xf numFmtId="0" fontId="4"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164" fontId="0" fillId="0" borderId="0" xfId="182" applyNumberFormat="1" applyFont="1"/>
    <xf numFmtId="0" fontId="0" fillId="0" borderId="0" xfId="0" applyAlignment="1">
      <alignment horizontal="right"/>
    </xf>
    <xf numFmtId="3" fontId="0" fillId="0" borderId="0" xfId="0" applyNumberFormat="1" applyAlignment="1">
      <alignment horizontal="right"/>
    </xf>
    <xf numFmtId="164" fontId="0" fillId="0" borderId="0" xfId="0" applyNumberFormat="1"/>
    <xf numFmtId="164" fontId="0" fillId="0" borderId="0" xfId="182" applyNumberFormat="1" applyFont="1" applyAlignment="1">
      <alignment horizontal="right"/>
    </xf>
    <xf numFmtId="0" fontId="0" fillId="0" borderId="0" xfId="0" applyBorder="1"/>
    <xf numFmtId="164" fontId="0" fillId="0" borderId="0" xfId="182" applyNumberFormat="1" applyFont="1" applyBorder="1"/>
    <xf numFmtId="3" fontId="5" fillId="0" borderId="0" xfId="0" applyNumberFormat="1" applyFont="1" applyFill="1"/>
    <xf numFmtId="0" fontId="0" fillId="0" borderId="0" xfId="0" applyFill="1"/>
    <xf numFmtId="164" fontId="5" fillId="0" borderId="0" xfId="182" applyNumberFormat="1" applyFont="1"/>
    <xf numFmtId="164" fontId="5" fillId="0" borderId="0" xfId="182" applyNumberFormat="1" applyFont="1" applyAlignment="1">
      <alignment horizontal="right"/>
    </xf>
    <xf numFmtId="1" fontId="0" fillId="0" borderId="0" xfId="0" applyNumberFormat="1"/>
    <xf numFmtId="1" fontId="4" fillId="0" borderId="0" xfId="0" applyNumberFormat="1" applyFont="1" applyAlignment="1">
      <alignment horizontal="right"/>
    </xf>
    <xf numFmtId="1" fontId="5" fillId="0" borderId="0" xfId="0" applyNumberFormat="1" applyFont="1" applyAlignment="1">
      <alignment horizontal="right"/>
    </xf>
    <xf numFmtId="1" fontId="5" fillId="0" borderId="0" xfId="0" applyNumberFormat="1" applyFont="1"/>
    <xf numFmtId="1" fontId="0" fillId="0" borderId="0" xfId="0" applyNumberFormat="1" applyFill="1"/>
    <xf numFmtId="1" fontId="5" fillId="0" borderId="0" xfId="0" applyNumberFormat="1" applyFont="1" applyFill="1"/>
    <xf numFmtId="0" fontId="0" fillId="0" borderId="0" xfId="0" applyAlignment="1">
      <alignment horizontal="left" indent="1"/>
    </xf>
    <xf numFmtId="0" fontId="5"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wrapText="1"/>
    </xf>
    <xf numFmtId="3" fontId="0" fillId="0" borderId="0" xfId="0" applyNumberFormat="1" applyFill="1"/>
    <xf numFmtId="0" fontId="0" fillId="49" borderId="0" xfId="0" applyFill="1"/>
    <xf numFmtId="0" fontId="5" fillId="0" borderId="0" xfId="0" applyFont="1" applyFill="1"/>
    <xf numFmtId="0" fontId="4" fillId="0" borderId="0" xfId="0" applyFont="1" applyFill="1" applyAlignment="1">
      <alignment horizontal="right"/>
    </xf>
    <xf numFmtId="1" fontId="4" fillId="0" borderId="0" xfId="0" applyNumberFormat="1" applyFont="1" applyFill="1" applyAlignment="1">
      <alignment horizontal="right"/>
    </xf>
    <xf numFmtId="0" fontId="4" fillId="0" borderId="0" xfId="0" applyFont="1" applyFill="1"/>
    <xf numFmtId="41" fontId="5" fillId="0" borderId="0" xfId="0" applyNumberFormat="1" applyFont="1" applyBorder="1"/>
    <xf numFmtId="0" fontId="5" fillId="0" borderId="0" xfId="0" applyFont="1" applyAlignment="1">
      <alignment horizontal="left" vertical="top" wrapText="1"/>
    </xf>
    <xf numFmtId="0" fontId="0" fillId="50" borderId="0" xfId="0" applyFill="1"/>
    <xf numFmtId="0" fontId="0" fillId="0" borderId="0" xfId="0" applyAlignment="1">
      <alignment vertical="top" wrapText="1"/>
    </xf>
    <xf numFmtId="0" fontId="0" fillId="51" borderId="0" xfId="0" applyFill="1"/>
    <xf numFmtId="169" fontId="0" fillId="0" borderId="0" xfId="0" applyNumberFormat="1" applyAlignment="1">
      <alignment horizontal="right"/>
    </xf>
    <xf numFmtId="0" fontId="0" fillId="0" borderId="0" xfId="0" applyAlignment="1"/>
    <xf numFmtId="169" fontId="0" fillId="0" borderId="0" xfId="0" applyNumberFormat="1" applyFill="1"/>
    <xf numFmtId="164" fontId="0" fillId="0" borderId="0" xfId="0" applyNumberFormat="1" applyFill="1"/>
    <xf numFmtId="0" fontId="0" fillId="0" borderId="0" xfId="0" quotePrefix="1" applyAlignment="1">
      <alignment horizontal="left" indent="1"/>
    </xf>
    <xf numFmtId="0" fontId="0" fillId="0" borderId="0" xfId="0" applyFill="1" applyAlignment="1">
      <alignment horizontal="left" indent="1"/>
    </xf>
    <xf numFmtId="168" fontId="0" fillId="0" borderId="0" xfId="0" applyNumberFormat="1"/>
    <xf numFmtId="0" fontId="0" fillId="52" borderId="0" xfId="0" applyFill="1"/>
    <xf numFmtId="0" fontId="0" fillId="53" borderId="0" xfId="0" applyFill="1"/>
    <xf numFmtId="0" fontId="5" fillId="0" borderId="0" xfId="0" applyFont="1" applyFill="1" applyAlignment="1">
      <alignment horizontal="left" vertical="center" wrapText="1"/>
    </xf>
    <xf numFmtId="164" fontId="0" fillId="0" borderId="0" xfId="182" applyNumberFormat="1" applyFont="1" applyFill="1"/>
    <xf numFmtId="164" fontId="0" fillId="0" borderId="0" xfId="182" applyNumberFormat="1" applyFont="1" applyFill="1" applyAlignment="1">
      <alignment horizontal="right"/>
    </xf>
    <xf numFmtId="0" fontId="0" fillId="0" borderId="0" xfId="0" applyFill="1" applyAlignment="1">
      <alignment horizontal="left" vertical="center" wrapText="1"/>
    </xf>
    <xf numFmtId="3" fontId="0" fillId="0" borderId="0" xfId="0" applyNumberFormat="1" applyFill="1" applyAlignment="1">
      <alignment horizontal="right"/>
    </xf>
    <xf numFmtId="0" fontId="0" fillId="0" borderId="0" xfId="0" applyFill="1" applyAlignment="1">
      <alignment horizontal="left" wrapText="1"/>
    </xf>
    <xf numFmtId="3" fontId="0" fillId="0" borderId="0" xfId="0" applyNumberFormat="1" applyBorder="1"/>
    <xf numFmtId="3" fontId="5" fillId="0" borderId="0" xfId="0" applyNumberFormat="1" applyFont="1" applyBorder="1"/>
    <xf numFmtId="0" fontId="5" fillId="0" borderId="0" xfId="0" applyFont="1" applyAlignment="1">
      <alignment wrapText="1"/>
    </xf>
    <xf numFmtId="171" fontId="0" fillId="0" borderId="0" xfId="0" applyNumberFormat="1"/>
    <xf numFmtId="1" fontId="12" fillId="0" borderId="0" xfId="0" applyNumberFormat="1" applyFont="1" applyFill="1"/>
    <xf numFmtId="0" fontId="5" fillId="0" borderId="0" xfId="0" applyFont="1" applyFill="1" applyAlignment="1">
      <alignment wrapText="1"/>
    </xf>
    <xf numFmtId="164" fontId="5" fillId="0" borderId="0" xfId="0" applyNumberFormat="1" applyFont="1"/>
    <xf numFmtId="0" fontId="0" fillId="0" borderId="0" xfId="0" applyFill="1" applyAlignment="1">
      <alignment horizontal="left"/>
    </xf>
    <xf numFmtId="0" fontId="5" fillId="0" borderId="0" xfId="0" applyFont="1" applyFill="1" applyAlignment="1">
      <alignment horizontal="left" vertical="top" wrapText="1"/>
    </xf>
    <xf numFmtId="0" fontId="5" fillId="0" borderId="0" xfId="0" applyFont="1" applyFill="1" applyAlignment="1">
      <alignment vertical="center" wrapText="1"/>
    </xf>
    <xf numFmtId="0" fontId="4" fillId="0" borderId="0" xfId="0" applyFont="1" applyAlignment="1"/>
    <xf numFmtId="3" fontId="5" fillId="0" borderId="0" xfId="200" applyNumberFormat="1" applyAlignment="1">
      <alignment horizontal="right"/>
    </xf>
    <xf numFmtId="168" fontId="5" fillId="0" borderId="0" xfId="200" applyNumberFormat="1"/>
    <xf numFmtId="2" fontId="5" fillId="0" borderId="0" xfId="200" applyNumberFormat="1" applyAlignment="1">
      <alignment horizontal="right"/>
    </xf>
    <xf numFmtId="168" fontId="5" fillId="0" borderId="0" xfId="200" applyNumberFormat="1" applyAlignment="1">
      <alignment horizontal="right"/>
    </xf>
    <xf numFmtId="14" fontId="4" fillId="0" borderId="0" xfId="0" applyNumberFormat="1" applyFont="1" applyAlignment="1">
      <alignment horizontal="right"/>
    </xf>
    <xf numFmtId="20" fontId="0" fillId="0" borderId="0" xfId="0" applyNumberFormat="1"/>
    <xf numFmtId="4" fontId="0" fillId="0" borderId="0" xfId="0" applyNumberFormat="1"/>
    <xf numFmtId="0" fontId="0" fillId="0" borderId="0" xfId="0" applyAlignment="1">
      <alignment horizontal="left" indent="2"/>
    </xf>
    <xf numFmtId="49" fontId="0" fillId="0" borderId="0" xfId="0" applyNumberFormat="1" applyAlignment="1">
      <alignment horizontal="right"/>
    </xf>
    <xf numFmtId="49" fontId="6" fillId="0" borderId="0" xfId="96" applyNumberFormat="1" applyAlignment="1" applyProtection="1">
      <alignment horizontal="right"/>
    </xf>
    <xf numFmtId="0" fontId="6" fillId="0" borderId="0" xfId="96" applyAlignment="1" applyProtection="1">
      <alignment horizontal="right"/>
    </xf>
    <xf numFmtId="0" fontId="5" fillId="0" borderId="0" xfId="0" applyFont="1" applyFill="1" applyAlignment="1">
      <alignment horizontal="left" wrapText="1"/>
    </xf>
    <xf numFmtId="173" fontId="0" fillId="0" borderId="0" xfId="182" applyNumberFormat="1" applyFont="1"/>
    <xf numFmtId="9" fontId="0" fillId="0" borderId="0" xfId="182" applyFont="1"/>
    <xf numFmtId="174" fontId="0" fillId="0" borderId="0" xfId="0" applyNumberFormat="1"/>
    <xf numFmtId="1" fontId="12" fillId="0" borderId="0" xfId="196" applyNumberFormat="1" applyFont="1" applyFill="1"/>
    <xf numFmtId="4" fontId="5" fillId="0" borderId="0" xfId="0" applyNumberFormat="1" applyFont="1" applyBorder="1" applyAlignment="1">
      <alignment horizontal="right"/>
    </xf>
    <xf numFmtId="3" fontId="0" fillId="0" borderId="0" xfId="0" applyNumberFormat="1" applyBorder="1" applyAlignment="1">
      <alignment horizontal="right"/>
    </xf>
    <xf numFmtId="0" fontId="5" fillId="0" borderId="0" xfId="0" applyFont="1" applyBorder="1" applyAlignment="1">
      <alignment horizontal="right"/>
    </xf>
    <xf numFmtId="10" fontId="0" fillId="0" borderId="0" xfId="182" applyNumberFormat="1" applyFont="1"/>
    <xf numFmtId="0" fontId="72" fillId="0" borderId="0" xfId="0" applyFont="1"/>
    <xf numFmtId="0" fontId="4" fillId="0" borderId="20" xfId="0" applyFont="1" applyBorder="1"/>
    <xf numFmtId="0" fontId="4" fillId="0" borderId="20" xfId="0" applyFont="1" applyBorder="1" applyAlignment="1">
      <alignment horizontal="right"/>
    </xf>
    <xf numFmtId="0" fontId="4" fillId="0" borderId="0" xfId="0" applyFont="1" applyBorder="1"/>
    <xf numFmtId="0" fontId="4" fillId="0" borderId="0" xfId="0" applyFont="1" applyBorder="1" applyAlignment="1">
      <alignment horizontal="right"/>
    </xf>
    <xf numFmtId="167" fontId="0" fillId="0" borderId="0" xfId="0" applyNumberFormat="1" applyBorder="1"/>
    <xf numFmtId="167" fontId="5" fillId="0" borderId="0" xfId="0" applyNumberFormat="1" applyFont="1" applyBorder="1"/>
    <xf numFmtId="165" fontId="0" fillId="0" borderId="0" xfId="0" applyNumberFormat="1" applyBorder="1"/>
    <xf numFmtId="165" fontId="5" fillId="0" borderId="0" xfId="0" applyNumberFormat="1" applyFont="1" applyBorder="1" applyAlignment="1">
      <alignment horizontal="right"/>
    </xf>
    <xf numFmtId="167" fontId="7" fillId="0" borderId="0" xfId="0" applyNumberFormat="1" applyFont="1" applyBorder="1" applyAlignment="1">
      <alignment horizontal="right"/>
    </xf>
    <xf numFmtId="167" fontId="5" fillId="0" borderId="0" xfId="0" applyNumberFormat="1" applyFont="1" applyBorder="1" applyAlignment="1">
      <alignment horizontal="right"/>
    </xf>
    <xf numFmtId="167" fontId="0" fillId="0" borderId="0" xfId="0" applyNumberFormat="1" applyBorder="1" applyAlignment="1">
      <alignment horizontal="right"/>
    </xf>
    <xf numFmtId="167" fontId="13" fillId="0" borderId="0" xfId="0" applyNumberFormat="1" applyFont="1" applyBorder="1" applyAlignment="1">
      <alignment horizontal="right"/>
    </xf>
    <xf numFmtId="167" fontId="0" fillId="0" borderId="0" xfId="0" applyNumberFormat="1" applyFill="1" applyBorder="1"/>
    <xf numFmtId="0" fontId="0" fillId="0" borderId="21" xfId="0" applyBorder="1"/>
    <xf numFmtId="167" fontId="0" fillId="0" borderId="21" xfId="0" applyNumberFormat="1" applyBorder="1"/>
    <xf numFmtId="167" fontId="5" fillId="0" borderId="21" xfId="0" applyNumberFormat="1" applyFont="1" applyFill="1" applyBorder="1"/>
    <xf numFmtId="167" fontId="0" fillId="0" borderId="21" xfId="0" applyNumberFormat="1" applyFill="1" applyBorder="1"/>
    <xf numFmtId="0" fontId="0" fillId="0" borderId="20" xfId="0" applyBorder="1"/>
    <xf numFmtId="164" fontId="5" fillId="0" borderId="0" xfId="182" applyNumberFormat="1" applyFont="1" applyBorder="1"/>
    <xf numFmtId="164" fontId="7" fillId="0" borderId="0" xfId="182" applyNumberFormat="1" applyFont="1" applyBorder="1"/>
    <xf numFmtId="0" fontId="0" fillId="0" borderId="0" xfId="0" applyBorder="1" applyAlignment="1">
      <alignment horizontal="right"/>
    </xf>
    <xf numFmtId="164" fontId="0" fillId="0" borderId="21" xfId="182" applyNumberFormat="1" applyFont="1" applyBorder="1"/>
    <xf numFmtId="164" fontId="5" fillId="0" borderId="21" xfId="182" applyNumberFormat="1" applyFont="1" applyBorder="1"/>
    <xf numFmtId="164" fontId="0" fillId="0" borderId="21" xfId="182" applyNumberFormat="1" applyFont="1" applyFill="1" applyBorder="1"/>
    <xf numFmtId="0" fontId="0" fillId="0" borderId="22" xfId="0" applyBorder="1"/>
    <xf numFmtId="0" fontId="4" fillId="0" borderId="22" xfId="0" applyFont="1" applyBorder="1" applyAlignment="1">
      <alignment horizontal="right"/>
    </xf>
    <xf numFmtId="0" fontId="4" fillId="0" borderId="22" xfId="0" applyFont="1" applyBorder="1"/>
    <xf numFmtId="0" fontId="74" fillId="0" borderId="0" xfId="0" applyFont="1"/>
    <xf numFmtId="0" fontId="5" fillId="0" borderId="20" xfId="0" applyFont="1" applyBorder="1"/>
    <xf numFmtId="0" fontId="4" fillId="0" borderId="20" xfId="0" applyFont="1" applyBorder="1" applyAlignment="1">
      <alignment horizontal="center"/>
    </xf>
    <xf numFmtId="0" fontId="5" fillId="0" borderId="0" xfId="0" applyFont="1" applyFill="1" applyBorder="1"/>
    <xf numFmtId="0" fontId="0" fillId="0" borderId="0" xfId="0" applyBorder="1" applyAlignment="1">
      <alignment horizontal="center"/>
    </xf>
    <xf numFmtId="1" fontId="5" fillId="0" borderId="0" xfId="0" applyNumberFormat="1" applyFont="1" applyFill="1" applyBorder="1"/>
    <xf numFmtId="3" fontId="5" fillId="0" borderId="0" xfId="0" applyNumberFormat="1" applyFont="1" applyFill="1" applyBorder="1"/>
    <xf numFmtId="3" fontId="0" fillId="0" borderId="0" xfId="0" applyNumberFormat="1" applyFill="1" applyBorder="1"/>
    <xf numFmtId="164" fontId="5" fillId="0" borderId="0" xfId="182" applyNumberFormat="1" applyFont="1" applyBorder="1" applyAlignment="1">
      <alignment horizontal="right"/>
    </xf>
    <xf numFmtId="1" fontId="0" fillId="0" borderId="0" xfId="0" applyNumberFormat="1" applyFill="1" applyBorder="1"/>
    <xf numFmtId="1" fontId="0" fillId="0" borderId="0" xfId="0" applyNumberFormat="1" applyBorder="1" applyAlignment="1">
      <alignment horizontal="left" indent="1"/>
    </xf>
    <xf numFmtId="1" fontId="0" fillId="0" borderId="0" xfId="0" applyNumberFormat="1" applyBorder="1"/>
    <xf numFmtId="1" fontId="5" fillId="0" borderId="0" xfId="0" applyNumberFormat="1" applyFont="1" applyBorder="1"/>
    <xf numFmtId="1" fontId="0" fillId="0" borderId="21" xfId="0" applyNumberFormat="1" applyBorder="1" applyAlignment="1">
      <alignment horizontal="left" indent="1"/>
    </xf>
    <xf numFmtId="3" fontId="5" fillId="0" borderId="21" xfId="0" applyNumberFormat="1" applyFont="1" applyBorder="1"/>
    <xf numFmtId="0" fontId="4" fillId="0" borderId="23" xfId="0" applyFont="1" applyBorder="1" applyAlignment="1">
      <alignment horizontal="center"/>
    </xf>
    <xf numFmtId="164" fontId="0" fillId="0" borderId="0" xfId="182" applyNumberFormat="1" applyFont="1" applyBorder="1" applyAlignment="1">
      <alignment horizontal="right"/>
    </xf>
    <xf numFmtId="1" fontId="0" fillId="0" borderId="21" xfId="0" applyNumberFormat="1" applyBorder="1"/>
    <xf numFmtId="3" fontId="0" fillId="0" borderId="21" xfId="0" applyNumberFormat="1" applyBorder="1"/>
    <xf numFmtId="164" fontId="0" fillId="0" borderId="21" xfId="182" applyNumberFormat="1" applyFont="1" applyBorder="1" applyAlignment="1">
      <alignment horizontal="right"/>
    </xf>
    <xf numFmtId="1" fontId="0" fillId="0" borderId="22" xfId="0" applyNumberFormat="1" applyBorder="1"/>
    <xf numFmtId="1" fontId="4" fillId="0" borderId="22" xfId="0" applyNumberFormat="1" applyFont="1" applyBorder="1" applyAlignment="1">
      <alignment horizontal="right"/>
    </xf>
    <xf numFmtId="0" fontId="4" fillId="0" borderId="22" xfId="0" applyFont="1" applyBorder="1" applyAlignment="1">
      <alignment horizontal="center"/>
    </xf>
    <xf numFmtId="0" fontId="5" fillId="0" borderId="22" xfId="0" applyFont="1" applyBorder="1"/>
    <xf numFmtId="0" fontId="0" fillId="0" borderId="20" xfId="0" applyFill="1" applyBorder="1"/>
    <xf numFmtId="0" fontId="4" fillId="0" borderId="20" xfId="0" applyFont="1" applyFill="1" applyBorder="1" applyAlignment="1">
      <alignment horizontal="right"/>
    </xf>
    <xf numFmtId="0" fontId="4" fillId="0" borderId="20" xfId="0" applyFont="1" applyFill="1" applyBorder="1" applyAlignment="1">
      <alignment horizontal="center"/>
    </xf>
    <xf numFmtId="0" fontId="0" fillId="0" borderId="0" xfId="0" applyFill="1" applyBorder="1"/>
    <xf numFmtId="0" fontId="0" fillId="0" borderId="0" xfId="0" applyFill="1" applyBorder="1" applyAlignment="1">
      <alignment horizontal="center"/>
    </xf>
    <xf numFmtId="164" fontId="0" fillId="0" borderId="0" xfId="0" applyNumberFormat="1" applyFill="1" applyBorder="1"/>
    <xf numFmtId="1" fontId="5" fillId="0" borderId="0" xfId="0" applyNumberFormat="1" applyFont="1" applyFill="1" applyBorder="1" applyAlignment="1">
      <alignment horizontal="left" indent="1"/>
    </xf>
    <xf numFmtId="1" fontId="0" fillId="0" borderId="0" xfId="0" applyNumberFormat="1" applyFill="1" applyBorder="1" applyAlignment="1">
      <alignment horizontal="left" indent="1"/>
    </xf>
    <xf numFmtId="1" fontId="0" fillId="0" borderId="21" xfId="0" applyNumberFormat="1" applyFill="1" applyBorder="1"/>
    <xf numFmtId="3" fontId="5" fillId="0" borderId="21" xfId="0" applyNumberFormat="1" applyFont="1" applyFill="1" applyBorder="1"/>
    <xf numFmtId="164" fontId="0" fillId="0" borderId="21" xfId="0" applyNumberFormat="1" applyFill="1" applyBorder="1"/>
    <xf numFmtId="1" fontId="0" fillId="0" borderId="22" xfId="0" applyNumberFormat="1" applyFill="1" applyBorder="1"/>
    <xf numFmtId="1" fontId="4" fillId="0" borderId="22" xfId="0" applyNumberFormat="1" applyFont="1" applyFill="1" applyBorder="1" applyAlignment="1">
      <alignment horizontal="right"/>
    </xf>
    <xf numFmtId="0" fontId="4" fillId="0" borderId="22" xfId="0" applyFont="1" applyFill="1" applyBorder="1" applyAlignment="1">
      <alignment horizontal="center"/>
    </xf>
    <xf numFmtId="0" fontId="0" fillId="0" borderId="22" xfId="0" applyFill="1" applyBorder="1"/>
    <xf numFmtId="0" fontId="4" fillId="0" borderId="22" xfId="0" applyFont="1" applyFill="1" applyBorder="1" applyAlignment="1">
      <alignment horizontal="right"/>
    </xf>
    <xf numFmtId="0" fontId="4" fillId="0" borderId="0" xfId="0" applyFont="1" applyBorder="1" applyAlignment="1">
      <alignment horizontal="center"/>
    </xf>
    <xf numFmtId="164" fontId="0" fillId="0" borderId="0" xfId="182" applyNumberFormat="1" applyFont="1" applyFill="1" applyBorder="1"/>
    <xf numFmtId="0" fontId="0" fillId="0" borderId="0" xfId="0" applyFill="1" applyBorder="1" applyAlignment="1">
      <alignment horizontal="right"/>
    </xf>
    <xf numFmtId="3" fontId="5" fillId="0" borderId="0" xfId="0" applyNumberFormat="1" applyFont="1" applyFill="1" applyBorder="1" applyAlignment="1">
      <alignment horizontal="right"/>
    </xf>
    <xf numFmtId="0" fontId="5" fillId="0" borderId="21" xfId="0" applyFont="1" applyFill="1" applyBorder="1"/>
    <xf numFmtId="3" fontId="0" fillId="0" borderId="21" xfId="0" applyNumberFormat="1" applyFill="1" applyBorder="1"/>
    <xf numFmtId="164" fontId="0" fillId="0" borderId="0" xfId="182" applyNumberFormat="1" applyFont="1" applyFill="1" applyBorder="1" applyAlignment="1">
      <alignment horizontal="right"/>
    </xf>
    <xf numFmtId="0" fontId="0" fillId="0" borderId="21" xfId="0" applyFill="1" applyBorder="1"/>
    <xf numFmtId="164" fontId="0" fillId="0" borderId="21" xfId="182" applyNumberFormat="1" applyFont="1" applyFill="1" applyBorder="1" applyAlignment="1">
      <alignment horizontal="right"/>
    </xf>
    <xf numFmtId="0" fontId="0" fillId="0" borderId="23" xfId="0" applyFill="1" applyBorder="1"/>
    <xf numFmtId="0" fontId="0" fillId="0" borderId="23" xfId="0" applyFill="1" applyBorder="1" applyAlignment="1">
      <alignment horizontal="center"/>
    </xf>
    <xf numFmtId="1" fontId="5"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Border="1"/>
    <xf numFmtId="164" fontId="5" fillId="0" borderId="0" xfId="0" applyNumberFormat="1" applyFont="1" applyBorder="1" applyAlignment="1">
      <alignment horizontal="right"/>
    </xf>
    <xf numFmtId="0" fontId="5" fillId="0" borderId="21" xfId="0" applyFont="1" applyBorder="1"/>
    <xf numFmtId="3" fontId="0" fillId="0" borderId="21" xfId="0" applyNumberFormat="1" applyBorder="1" applyAlignment="1">
      <alignment horizontal="right"/>
    </xf>
    <xf numFmtId="164" fontId="5" fillId="0" borderId="21" xfId="0" applyNumberFormat="1" applyFont="1" applyBorder="1" applyAlignment="1">
      <alignment horizontal="right"/>
    </xf>
    <xf numFmtId="164" fontId="0" fillId="0" borderId="0" xfId="0" applyNumberFormat="1" applyBorder="1"/>
    <xf numFmtId="0" fontId="0" fillId="0" borderId="21" xfId="0" applyBorder="1" applyAlignment="1">
      <alignment horizontal="right"/>
    </xf>
    <xf numFmtId="174" fontId="0" fillId="0" borderId="0" xfId="0" applyNumberFormat="1" applyFill="1" applyBorder="1"/>
    <xf numFmtId="0" fontId="4" fillId="0" borderId="0" xfId="0" applyFont="1" applyFill="1" applyBorder="1"/>
    <xf numFmtId="174" fontId="0" fillId="0" borderId="0" xfId="0" applyNumberFormat="1" applyBorder="1"/>
    <xf numFmtId="174" fontId="0" fillId="0" borderId="21" xfId="0" applyNumberFormat="1" applyBorder="1"/>
    <xf numFmtId="0" fontId="0" fillId="0" borderId="23" xfId="0" applyBorder="1"/>
    <xf numFmtId="0" fontId="0" fillId="0" borderId="23" xfId="0" applyBorder="1" applyAlignment="1">
      <alignment horizontal="center"/>
    </xf>
    <xf numFmtId="0" fontId="4" fillId="0" borderId="0" xfId="0" applyFont="1" applyFill="1" applyBorder="1" applyAlignment="1">
      <alignment horizontal="center"/>
    </xf>
    <xf numFmtId="1" fontId="5" fillId="0" borderId="21" xfId="0" applyNumberFormat="1" applyFont="1" applyFill="1" applyBorder="1"/>
    <xf numFmtId="164" fontId="5" fillId="0" borderId="0" xfId="182" applyNumberFormat="1" applyFont="1" applyFill="1" applyBorder="1" applyAlignment="1">
      <alignment horizontal="right"/>
    </xf>
    <xf numFmtId="3" fontId="0" fillId="0" borderId="0" xfId="0" applyNumberFormat="1" applyFill="1" applyBorder="1" applyAlignment="1">
      <alignment horizontal="right"/>
    </xf>
    <xf numFmtId="3" fontId="5" fillId="0" borderId="21" xfId="0" applyNumberFormat="1" applyFont="1" applyFill="1" applyBorder="1" applyAlignment="1">
      <alignment horizontal="right"/>
    </xf>
    <xf numFmtId="0" fontId="4" fillId="0" borderId="23" xfId="0" applyFont="1" applyFill="1" applyBorder="1" applyAlignment="1">
      <alignment horizontal="right"/>
    </xf>
    <xf numFmtId="0" fontId="4" fillId="0" borderId="23" xfId="0" applyFont="1" applyFill="1" applyBorder="1" applyAlignment="1">
      <alignment horizontal="center"/>
    </xf>
    <xf numFmtId="1" fontId="0" fillId="0" borderId="0" xfId="0" applyNumberFormat="1" applyFill="1" applyBorder="1" applyAlignment="1">
      <alignment horizontal="right"/>
    </xf>
    <xf numFmtId="173" fontId="0" fillId="0" borderId="0" xfId="182" applyNumberFormat="1" applyFont="1" applyBorder="1"/>
    <xf numFmtId="1" fontId="0" fillId="0" borderId="0" xfId="0" quotePrefix="1" applyNumberFormat="1" applyBorder="1"/>
    <xf numFmtId="171" fontId="0" fillId="0" borderId="0" xfId="0" applyNumberFormat="1" applyBorder="1"/>
    <xf numFmtId="173" fontId="0" fillId="0" borderId="0" xfId="182" applyNumberFormat="1" applyFont="1" applyBorder="1" applyAlignment="1">
      <alignment horizontal="right"/>
    </xf>
    <xf numFmtId="173" fontId="0" fillId="0" borderId="21" xfId="182" applyNumberFormat="1" applyFont="1" applyBorder="1"/>
    <xf numFmtId="0" fontId="4" fillId="0" borderId="23" xfId="0" applyFont="1" applyBorder="1" applyAlignment="1">
      <alignment horizontal="right"/>
    </xf>
    <xf numFmtId="0" fontId="0" fillId="0" borderId="0" xfId="0" quotePrefix="1" applyBorder="1"/>
    <xf numFmtId="172" fontId="0" fillId="0" borderId="0" xfId="0" applyNumberFormat="1" applyBorder="1" applyAlignment="1">
      <alignment horizontal="right"/>
    </xf>
    <xf numFmtId="166" fontId="5" fillId="0" borderId="0" xfId="182" applyNumberFormat="1" applyFont="1" applyBorder="1"/>
    <xf numFmtId="0" fontId="0" fillId="0" borderId="0" xfId="0" quotePrefix="1" applyFill="1" applyBorder="1"/>
    <xf numFmtId="3" fontId="4" fillId="0" borderId="22" xfId="0" applyNumberFormat="1" applyFont="1" applyFill="1" applyBorder="1" applyAlignment="1">
      <alignment horizontal="right"/>
    </xf>
    <xf numFmtId="1" fontId="4" fillId="0" borderId="0" xfId="0" applyNumberFormat="1" applyFont="1" applyFill="1" applyBorder="1" applyAlignment="1">
      <alignment horizontal="right"/>
    </xf>
    <xf numFmtId="171" fontId="5" fillId="0" borderId="0" xfId="0" applyNumberFormat="1" applyFont="1" applyFill="1" applyBorder="1" applyAlignment="1">
      <alignment horizontal="right"/>
    </xf>
    <xf numFmtId="1" fontId="5" fillId="0" borderId="0" xfId="0" quotePrefix="1" applyNumberFormat="1" applyFont="1" applyFill="1" applyBorder="1" applyAlignment="1">
      <alignment horizontal="left"/>
    </xf>
    <xf numFmtId="1" fontId="7" fillId="0" borderId="0" xfId="0" applyNumberFormat="1" applyFont="1" applyFill="1" applyBorder="1"/>
    <xf numFmtId="3" fontId="7" fillId="0" borderId="0" xfId="0" applyNumberFormat="1" applyFont="1" applyFill="1" applyBorder="1"/>
    <xf numFmtId="164" fontId="2" fillId="0" borderId="0" xfId="182" applyNumberFormat="1" applyFont="1" applyBorder="1"/>
    <xf numFmtId="164" fontId="2" fillId="0" borderId="21" xfId="182" applyNumberFormat="1" applyFont="1" applyBorder="1"/>
    <xf numFmtId="41" fontId="8" fillId="0" borderId="0" xfId="100" applyNumberFormat="1" applyFont="1" applyBorder="1" applyAlignment="1">
      <alignment horizontal="right"/>
    </xf>
    <xf numFmtId="41" fontId="0" fillId="0" borderId="0" xfId="100" applyNumberFormat="1" applyFont="1" applyBorder="1"/>
    <xf numFmtId="41" fontId="9" fillId="0" borderId="0" xfId="100" applyNumberFormat="1" applyFont="1" applyBorder="1" applyAlignment="1">
      <alignment horizontal="right"/>
    </xf>
    <xf numFmtId="0" fontId="5" fillId="0" borderId="0" xfId="0" applyFont="1" applyBorder="1" applyAlignment="1">
      <alignment horizontal="left" indent="1"/>
    </xf>
    <xf numFmtId="0" fontId="0" fillId="0" borderId="0" xfId="0" applyBorder="1" applyAlignment="1">
      <alignment horizontal="left" indent="1"/>
    </xf>
    <xf numFmtId="41" fontId="0" fillId="0" borderId="0" xfId="100" applyNumberFormat="1" applyFont="1" applyBorder="1" applyAlignment="1">
      <alignment horizontal="right"/>
    </xf>
    <xf numFmtId="41" fontId="0" fillId="0" borderId="21" xfId="100" applyNumberFormat="1" applyFont="1" applyBorder="1"/>
    <xf numFmtId="0" fontId="5" fillId="0" borderId="0" xfId="0" applyFont="1" applyBorder="1" applyAlignment="1">
      <alignment horizontal="left" indent="2"/>
    </xf>
    <xf numFmtId="41" fontId="0" fillId="0" borderId="21" xfId="100" applyNumberFormat="1" applyFont="1" applyBorder="1" applyAlignment="1">
      <alignment horizontal="right"/>
    </xf>
    <xf numFmtId="1" fontId="5" fillId="0" borderId="20" xfId="0" applyNumberFormat="1" applyFont="1" applyFill="1" applyBorder="1"/>
    <xf numFmtId="3" fontId="12" fillId="0" borderId="20" xfId="0" applyNumberFormat="1" applyFont="1" applyFill="1" applyBorder="1"/>
    <xf numFmtId="1" fontId="12" fillId="0" borderId="0" xfId="0" applyNumberFormat="1" applyFont="1" applyFill="1" applyBorder="1"/>
    <xf numFmtId="1" fontId="12" fillId="0" borderId="0" xfId="0" applyNumberFormat="1" applyFont="1" applyFill="1" applyBorder="1" applyAlignment="1">
      <alignment horizontal="center"/>
    </xf>
    <xf numFmtId="3" fontId="12" fillId="0" borderId="0" xfId="0" applyNumberFormat="1" applyFont="1" applyFill="1" applyBorder="1"/>
    <xf numFmtId="164" fontId="12" fillId="0" borderId="21" xfId="196" applyNumberFormat="1" applyFont="1" applyFill="1" applyBorder="1"/>
    <xf numFmtId="9" fontId="12" fillId="0" borderId="0" xfId="196" applyFont="1" applyFill="1" applyBorder="1" applyAlignment="1">
      <alignment horizontal="right" vertical="center"/>
    </xf>
    <xf numFmtId="3" fontId="12" fillId="0" borderId="21" xfId="0" applyNumberFormat="1" applyFont="1" applyFill="1" applyBorder="1"/>
    <xf numFmtId="1" fontId="5" fillId="0" borderId="20" xfId="0" applyNumberFormat="1" applyFont="1" applyBorder="1"/>
    <xf numFmtId="3" fontId="12" fillId="0" borderId="0" xfId="0" applyNumberFormat="1" applyFont="1" applyFill="1" applyBorder="1" applyAlignment="1">
      <alignment horizontal="center"/>
    </xf>
    <xf numFmtId="1" fontId="5" fillId="0" borderId="21" xfId="0" applyNumberFormat="1" applyFont="1" applyBorder="1"/>
    <xf numFmtId="9" fontId="5" fillId="0" borderId="20" xfId="182" applyFont="1" applyBorder="1"/>
    <xf numFmtId="3" fontId="5" fillId="0" borderId="0" xfId="0" applyNumberFormat="1" applyFont="1" applyBorder="1" applyAlignment="1">
      <alignment horizontal="center"/>
    </xf>
    <xf numFmtId="164" fontId="5" fillId="0" borderId="21" xfId="0" applyNumberFormat="1" applyFont="1" applyBorder="1"/>
    <xf numFmtId="0" fontId="0" fillId="0" borderId="0" xfId="0" applyBorder="1" applyAlignment="1">
      <alignment horizontal="left"/>
    </xf>
    <xf numFmtId="168" fontId="0" fillId="0" borderId="0" xfId="0" applyNumberFormat="1" applyFill="1" applyBorder="1" applyAlignment="1">
      <alignment horizontal="right"/>
    </xf>
    <xf numFmtId="168" fontId="0" fillId="0" borderId="0" xfId="0" applyNumberFormat="1" applyFill="1" applyBorder="1"/>
    <xf numFmtId="168" fontId="0" fillId="0" borderId="0" xfId="0" applyNumberFormat="1" applyBorder="1" applyAlignment="1">
      <alignment horizontal="right"/>
    </xf>
    <xf numFmtId="0" fontId="0" fillId="0" borderId="21" xfId="0" applyBorder="1" applyAlignment="1">
      <alignment horizontal="left" indent="1"/>
    </xf>
    <xf numFmtId="168" fontId="0" fillId="0" borderId="21" xfId="0" applyNumberFormat="1" applyFill="1" applyBorder="1"/>
    <xf numFmtId="0" fontId="5" fillId="0" borderId="0" xfId="0" applyFont="1" applyBorder="1" applyAlignment="1">
      <alignment horizontal="left"/>
    </xf>
    <xf numFmtId="168" fontId="0" fillId="0" borderId="21" xfId="0" applyNumberFormat="1" applyFill="1" applyBorder="1" applyAlignment="1">
      <alignment horizontal="right"/>
    </xf>
    <xf numFmtId="164" fontId="0" fillId="0" borderId="21" xfId="0" applyNumberFormat="1" applyBorder="1"/>
    <xf numFmtId="0" fontId="0" fillId="0" borderId="24" xfId="0" applyBorder="1"/>
    <xf numFmtId="0" fontId="10" fillId="0" borderId="24" xfId="0" applyFont="1" applyBorder="1"/>
    <xf numFmtId="0" fontId="5" fillId="0" borderId="0" xfId="0" applyFont="1" applyBorder="1" applyAlignment="1">
      <alignment vertical="top" wrapText="1"/>
    </xf>
    <xf numFmtId="173" fontId="0" fillId="0" borderId="0" xfId="182" applyNumberFormat="1" applyFont="1" applyFill="1" applyBorder="1"/>
    <xf numFmtId="175" fontId="0" fillId="0" borderId="0" xfId="0" applyNumberFormat="1" applyFill="1" applyBorder="1"/>
    <xf numFmtId="175" fontId="0" fillId="0" borderId="0" xfId="0" applyNumberFormat="1" applyBorder="1"/>
    <xf numFmtId="173" fontId="0" fillId="0" borderId="21" xfId="182" applyNumberFormat="1" applyFont="1" applyFill="1" applyBorder="1"/>
    <xf numFmtId="175" fontId="0" fillId="0" borderId="21" xfId="0" applyNumberFormat="1" applyFill="1" applyBorder="1"/>
    <xf numFmtId="0" fontId="5" fillId="0" borderId="24" xfId="0" applyFont="1" applyBorder="1" applyAlignment="1">
      <alignment vertical="top" wrapText="1"/>
    </xf>
    <xf numFmtId="0" fontId="5" fillId="0" borderId="24" xfId="0" applyFont="1" applyBorder="1" applyAlignment="1">
      <alignment horizontal="right" vertical="top" wrapText="1"/>
    </xf>
    <xf numFmtId="171" fontId="0" fillId="0" borderId="0" xfId="0" applyNumberFormat="1" applyFill="1" applyBorder="1"/>
    <xf numFmtId="169" fontId="0" fillId="0" borderId="0" xfId="0" applyNumberFormat="1" applyFill="1" applyBorder="1"/>
    <xf numFmtId="0" fontId="4" fillId="0" borderId="24" xfId="0" applyFont="1" applyFill="1" applyBorder="1"/>
    <xf numFmtId="0" fontId="0" fillId="0" borderId="24" xfId="0" applyFill="1" applyBorder="1"/>
    <xf numFmtId="0" fontId="5" fillId="0" borderId="24" xfId="0" applyFont="1" applyFill="1" applyBorder="1"/>
    <xf numFmtId="0" fontId="0" fillId="0" borderId="24" xfId="0" applyFill="1" applyBorder="1" applyAlignment="1">
      <alignment horizontal="right"/>
    </xf>
    <xf numFmtId="173" fontId="0" fillId="0" borderId="0" xfId="0" applyNumberFormat="1" applyBorder="1"/>
    <xf numFmtId="175" fontId="0" fillId="0" borderId="21" xfId="0" applyNumberFormat="1" applyBorder="1"/>
    <xf numFmtId="170" fontId="0" fillId="0" borderId="0" xfId="0" applyNumberFormat="1" applyFill="1" applyBorder="1"/>
    <xf numFmtId="170" fontId="0" fillId="0" borderId="0" xfId="0" applyNumberFormat="1" applyBorder="1"/>
    <xf numFmtId="170" fontId="0" fillId="0" borderId="21" xfId="0" applyNumberFormat="1" applyFill="1" applyBorder="1"/>
    <xf numFmtId="0" fontId="5" fillId="0" borderId="21" xfId="0" applyFont="1" applyBorder="1" applyAlignment="1">
      <alignment horizontal="left" indent="1"/>
    </xf>
    <xf numFmtId="0" fontId="4" fillId="0" borderId="22" xfId="0" applyFont="1" applyFill="1" applyBorder="1"/>
    <xf numFmtId="0" fontId="0" fillId="0" borderId="0" xfId="0" quotePrefix="1" applyBorder="1" applyAlignment="1">
      <alignment horizontal="left" indent="1"/>
    </xf>
    <xf numFmtId="0" fontId="0" fillId="0" borderId="0" xfId="0" applyFill="1" applyBorder="1" applyAlignment="1">
      <alignment horizontal="left" indent="1"/>
    </xf>
    <xf numFmtId="170" fontId="0" fillId="0" borderId="21" xfId="0" applyNumberFormat="1" applyBorder="1"/>
    <xf numFmtId="164" fontId="0" fillId="0" borderId="21" xfId="0" applyNumberFormat="1" applyFill="1" applyBorder="1" applyAlignment="1">
      <alignment horizontal="right"/>
    </xf>
    <xf numFmtId="164" fontId="0" fillId="0" borderId="21" xfId="0" applyNumberFormat="1" applyBorder="1" applyAlignment="1">
      <alignment horizontal="right"/>
    </xf>
    <xf numFmtId="165" fontId="0" fillId="0" borderId="21" xfId="0" applyNumberFormat="1" applyBorder="1"/>
    <xf numFmtId="0" fontId="5" fillId="0" borderId="24" xfId="0" applyFont="1" applyFill="1" applyBorder="1" applyAlignment="1">
      <alignment horizontal="right"/>
    </xf>
    <xf numFmtId="171" fontId="0" fillId="0" borderId="21" xfId="0" applyNumberFormat="1" applyBorder="1"/>
    <xf numFmtId="0" fontId="5" fillId="0" borderId="19" xfId="0" applyFont="1" applyFill="1" applyBorder="1"/>
    <xf numFmtId="164" fontId="0" fillId="0" borderId="19" xfId="0" applyNumberFormat="1" applyFill="1" applyBorder="1"/>
    <xf numFmtId="171" fontId="0" fillId="0" borderId="19" xfId="0" applyNumberFormat="1" applyBorder="1"/>
    <xf numFmtId="173" fontId="0" fillId="0" borderId="21" xfId="0" applyNumberFormat="1" applyBorder="1"/>
    <xf numFmtId="164" fontId="5" fillId="0" borderId="21" xfId="0" applyNumberFormat="1" applyFont="1" applyFill="1" applyBorder="1" applyAlignment="1">
      <alignment horizontal="right"/>
    </xf>
    <xf numFmtId="164" fontId="5" fillId="0" borderId="19" xfId="0" applyNumberFormat="1" applyFont="1" applyFill="1" applyBorder="1" applyAlignment="1">
      <alignment horizontal="right"/>
    </xf>
    <xf numFmtId="0" fontId="4" fillId="0" borderId="24" xfId="0" applyFont="1" applyFill="1" applyBorder="1" applyAlignment="1">
      <alignment vertical="top"/>
    </xf>
    <xf numFmtId="0" fontId="0" fillId="0" borderId="0" xfId="0" applyFill="1" applyBorder="1" applyAlignment="1">
      <alignment horizontal="left"/>
    </xf>
    <xf numFmtId="0" fontId="0" fillId="0" borderId="21" xfId="0" applyBorder="1" applyAlignment="1">
      <alignment horizontal="left"/>
    </xf>
    <xf numFmtId="0" fontId="5" fillId="0" borderId="22" xfId="0" applyFont="1" applyBorder="1" applyAlignment="1">
      <alignment horizontal="right" wrapText="1"/>
    </xf>
    <xf numFmtId="3" fontId="5" fillId="0" borderId="0" xfId="0" applyNumberFormat="1" applyFont="1" applyBorder="1" applyAlignment="1">
      <alignment horizontal="right"/>
    </xf>
    <xf numFmtId="0" fontId="5" fillId="0" borderId="21" xfId="0" applyFont="1" applyBorder="1" applyAlignment="1">
      <alignment horizontal="left"/>
    </xf>
    <xf numFmtId="0" fontId="4" fillId="0" borderId="22" xfId="0" applyFont="1" applyBorder="1" applyAlignment="1">
      <alignment horizontal="left" wrapText="1"/>
    </xf>
    <xf numFmtId="0" fontId="4" fillId="0" borderId="22" xfId="0" applyFont="1" applyBorder="1" applyAlignment="1">
      <alignment horizontal="center" wrapText="1"/>
    </xf>
    <xf numFmtId="164" fontId="5" fillId="0" borderId="21" xfId="182" applyNumberFormat="1" applyFont="1" applyBorder="1" applyAlignment="1">
      <alignment horizontal="right"/>
    </xf>
    <xf numFmtId="3" fontId="0" fillId="0" borderId="0" xfId="0" applyNumberFormat="1" applyBorder="1" applyAlignment="1">
      <alignment horizontal="center"/>
    </xf>
    <xf numFmtId="41" fontId="5" fillId="0" borderId="0" xfId="0" applyNumberFormat="1" applyFont="1" applyBorder="1" applyAlignment="1">
      <alignment horizontal="right"/>
    </xf>
    <xf numFmtId="0" fontId="0" fillId="0" borderId="0" xfId="0" applyBorder="1" applyAlignment="1">
      <alignment vertical="top" wrapText="1"/>
    </xf>
    <xf numFmtId="2" fontId="0" fillId="0" borderId="0" xfId="0" applyNumberFormat="1" applyBorder="1" applyAlignment="1">
      <alignment horizontal="right"/>
    </xf>
    <xf numFmtId="168" fontId="0" fillId="0" borderId="0" xfId="0" applyNumberFormat="1" applyBorder="1"/>
    <xf numFmtId="3" fontId="5" fillId="0" borderId="0" xfId="200" applyNumberFormat="1" applyBorder="1" applyAlignment="1">
      <alignment horizontal="right"/>
    </xf>
    <xf numFmtId="3" fontId="5" fillId="0" borderId="0" xfId="200" applyNumberFormat="1" applyFill="1" applyBorder="1" applyAlignment="1">
      <alignment horizontal="right"/>
    </xf>
    <xf numFmtId="2" fontId="5" fillId="0" borderId="0" xfId="200" applyNumberFormat="1" applyFill="1" applyBorder="1" applyAlignment="1">
      <alignment horizontal="right"/>
    </xf>
    <xf numFmtId="168" fontId="5" fillId="0" borderId="0" xfId="200" applyNumberFormat="1" applyBorder="1"/>
    <xf numFmtId="168" fontId="5" fillId="0" borderId="0" xfId="200" applyNumberFormat="1" applyFill="1" applyBorder="1"/>
    <xf numFmtId="3" fontId="5" fillId="0" borderId="21" xfId="200" applyNumberFormat="1" applyBorder="1" applyAlignment="1">
      <alignment horizontal="right"/>
    </xf>
    <xf numFmtId="3" fontId="5" fillId="0" borderId="21" xfId="200" applyNumberFormat="1" applyFill="1" applyBorder="1" applyAlignment="1">
      <alignment horizontal="right"/>
    </xf>
    <xf numFmtId="2" fontId="5" fillId="0" borderId="21" xfId="200" applyNumberFormat="1" applyFill="1" applyBorder="1" applyAlignment="1">
      <alignment horizontal="right"/>
    </xf>
    <xf numFmtId="168" fontId="5" fillId="0" borderId="21" xfId="200" applyNumberFormat="1" applyFill="1" applyBorder="1"/>
    <xf numFmtId="0" fontId="5" fillId="0" borderId="24" xfId="0" applyFont="1" applyBorder="1"/>
    <xf numFmtId="0" fontId="0" fillId="0" borderId="24" xfId="0" applyBorder="1" applyAlignment="1">
      <alignment horizontal="right" vertical="top" wrapText="1"/>
    </xf>
    <xf numFmtId="164" fontId="0" fillId="0" borderId="0" xfId="0" applyNumberFormat="1" applyBorder="1" applyAlignment="1">
      <alignment horizontal="right"/>
    </xf>
    <xf numFmtId="0" fontId="0" fillId="0" borderId="24" xfId="0" applyBorder="1" applyAlignment="1"/>
    <xf numFmtId="0" fontId="0" fillId="0" borderId="24" xfId="0" quotePrefix="1" applyBorder="1" applyAlignment="1">
      <alignment vertical="top" wrapText="1"/>
    </xf>
    <xf numFmtId="0" fontId="0" fillId="0" borderId="24" xfId="0" applyBorder="1" applyAlignment="1">
      <alignment vertical="top" wrapText="1"/>
    </xf>
    <xf numFmtId="2" fontId="5" fillId="0" borderId="0" xfId="200" applyNumberFormat="1" applyBorder="1" applyAlignment="1">
      <alignment horizontal="right"/>
    </xf>
    <xf numFmtId="168" fontId="5" fillId="0" borderId="0" xfId="200" applyNumberFormat="1" applyBorder="1" applyAlignment="1">
      <alignment horizontal="right"/>
    </xf>
    <xf numFmtId="168" fontId="5" fillId="0" borderId="0" xfId="200" applyNumberFormat="1" applyFill="1" applyBorder="1" applyAlignment="1">
      <alignment horizontal="right"/>
    </xf>
    <xf numFmtId="2" fontId="5" fillId="0" borderId="21" xfId="200" applyNumberFormat="1" applyBorder="1" applyAlignment="1">
      <alignment horizontal="right"/>
    </xf>
    <xf numFmtId="168" fontId="5" fillId="0" borderId="21" xfId="200" applyNumberFormat="1" applyFill="1" applyBorder="1" applyAlignment="1">
      <alignment horizontal="right"/>
    </xf>
    <xf numFmtId="165" fontId="5" fillId="0" borderId="0" xfId="0" applyNumberFormat="1" applyFont="1" applyBorder="1"/>
    <xf numFmtId="165" fontId="5" fillId="0" borderId="0" xfId="200" applyNumberFormat="1" applyBorder="1"/>
    <xf numFmtId="168" fontId="0" fillId="0" borderId="21" xfId="0" applyNumberFormat="1" applyBorder="1"/>
    <xf numFmtId="165" fontId="5" fillId="0" borderId="21" xfId="200" applyNumberFormat="1" applyBorder="1"/>
    <xf numFmtId="0" fontId="4" fillId="0" borderId="20" xfId="0" applyFont="1" applyBorder="1" applyAlignment="1">
      <alignment vertical="top" wrapText="1"/>
    </xf>
    <xf numFmtId="168" fontId="5" fillId="0" borderId="21" xfId="200" applyNumberFormat="1" applyBorder="1" applyAlignment="1">
      <alignment horizontal="right"/>
    </xf>
    <xf numFmtId="0" fontId="4" fillId="0" borderId="22" xfId="0" applyFont="1" applyBorder="1" applyAlignment="1">
      <alignment horizontal="right" wrapText="1"/>
    </xf>
    <xf numFmtId="0" fontId="4" fillId="0" borderId="24" xfId="0" applyFont="1" applyBorder="1" applyAlignment="1">
      <alignment horizontal="left"/>
    </xf>
    <xf numFmtId="0" fontId="4" fillId="0" borderId="24" xfId="0" applyFont="1" applyBorder="1" applyAlignment="1">
      <alignment horizontal="left" vertical="top"/>
    </xf>
    <xf numFmtId="0" fontId="4" fillId="0" borderId="24" xfId="0" applyFont="1" applyBorder="1" applyAlignment="1">
      <alignment horizontal="right"/>
    </xf>
    <xf numFmtId="0" fontId="70" fillId="54" borderId="0" xfId="0" applyFont="1" applyFill="1"/>
    <xf numFmtId="0" fontId="37" fillId="54" borderId="0" xfId="0" applyFont="1" applyFill="1" applyAlignment="1">
      <alignment horizontal="right"/>
    </xf>
    <xf numFmtId="49" fontId="38" fillId="54" borderId="0" xfId="0" applyNumberFormat="1" applyFont="1" applyFill="1" applyAlignment="1">
      <alignment horizontal="right"/>
    </xf>
    <xf numFmtId="0" fontId="0" fillId="55" borderId="0" xfId="0" applyFill="1" applyAlignment="1">
      <alignment horizontal="left" indent="1"/>
    </xf>
    <xf numFmtId="49" fontId="0" fillId="55" borderId="0" xfId="0" applyNumberFormat="1" applyFill="1" applyAlignment="1">
      <alignment horizontal="right"/>
    </xf>
    <xf numFmtId="49" fontId="6" fillId="0" borderId="0" xfId="96" applyNumberFormat="1" applyFill="1" applyAlignment="1" applyProtection="1">
      <alignment horizontal="right"/>
    </xf>
    <xf numFmtId="0" fontId="4" fillId="55" borderId="0" xfId="0" applyFont="1" applyFill="1" applyAlignment="1">
      <alignment horizontal="left"/>
    </xf>
    <xf numFmtId="3" fontId="0" fillId="55" borderId="0" xfId="0" applyNumberFormat="1" applyFill="1" applyBorder="1" applyAlignment="1">
      <alignment horizontal="right"/>
    </xf>
    <xf numFmtId="168" fontId="0" fillId="55" borderId="0" xfId="0" applyNumberFormat="1" applyFill="1" applyBorder="1" applyAlignment="1">
      <alignment horizontal="right"/>
    </xf>
    <xf numFmtId="164" fontId="0" fillId="55" borderId="0" xfId="0" applyNumberFormat="1" applyFill="1" applyBorder="1"/>
    <xf numFmtId="3" fontId="0" fillId="55" borderId="0" xfId="0" applyNumberFormat="1" applyFill="1" applyBorder="1"/>
    <xf numFmtId="173" fontId="11" fillId="55" borderId="0" xfId="182" applyNumberFormat="1" applyFont="1" applyFill="1" applyBorder="1"/>
    <xf numFmtId="175" fontId="0" fillId="55" borderId="0" xfId="0" applyNumberFormat="1" applyFill="1" applyBorder="1"/>
    <xf numFmtId="3" fontId="0" fillId="55" borderId="21" xfId="0" applyNumberFormat="1" applyFill="1" applyBorder="1"/>
    <xf numFmtId="164" fontId="0" fillId="55" borderId="21" xfId="0" applyNumberFormat="1" applyFill="1" applyBorder="1"/>
    <xf numFmtId="0" fontId="4" fillId="55" borderId="0" xfId="0" applyFont="1" applyFill="1"/>
    <xf numFmtId="173" fontId="0" fillId="55" borderId="0" xfId="0" applyNumberFormat="1" applyFill="1" applyBorder="1"/>
    <xf numFmtId="173" fontId="0" fillId="0" borderId="0" xfId="0" applyNumberFormat="1" applyFill="1" applyBorder="1"/>
    <xf numFmtId="0" fontId="4" fillId="0" borderId="22" xfId="0" applyFont="1" applyFill="1" applyBorder="1" applyAlignment="1">
      <alignment vertical="top"/>
    </xf>
    <xf numFmtId="0" fontId="4" fillId="0" borderId="22" xfId="0" applyFont="1" applyBorder="1" applyAlignment="1">
      <alignment horizontal="left" vertical="top"/>
    </xf>
    <xf numFmtId="173" fontId="0" fillId="0" borderId="21" xfId="0" applyNumberFormat="1" applyFill="1" applyBorder="1"/>
    <xf numFmtId="173" fontId="0" fillId="0" borderId="21" xfId="0" applyNumberFormat="1" applyFill="1" applyBorder="1" applyAlignment="1">
      <alignment horizontal="right"/>
    </xf>
    <xf numFmtId="173" fontId="0" fillId="0" borderId="21" xfId="0" applyNumberFormat="1" applyBorder="1" applyAlignment="1">
      <alignment horizontal="right"/>
    </xf>
    <xf numFmtId="174" fontId="5" fillId="0" borderId="0" xfId="0" applyNumberFormat="1" applyFont="1" applyBorder="1"/>
    <xf numFmtId="4" fontId="0" fillId="0" borderId="0" xfId="0" applyNumberFormat="1" applyFill="1"/>
    <xf numFmtId="172" fontId="5" fillId="0" borderId="0" xfId="0" applyNumberFormat="1" applyFont="1" applyBorder="1" applyAlignment="1">
      <alignment horizontal="right"/>
    </xf>
    <xf numFmtId="3" fontId="5" fillId="0" borderId="21" xfId="0" applyNumberFormat="1" applyFont="1" applyBorder="1" applyAlignment="1">
      <alignment horizontal="right"/>
    </xf>
    <xf numFmtId="0" fontId="5" fillId="0" borderId="0" xfId="0" applyFont="1" applyFill="1"/>
    <xf numFmtId="174" fontId="12" fillId="0" borderId="20" xfId="0" applyNumberFormat="1" applyFont="1" applyFill="1" applyBorder="1"/>
    <xf numFmtId="174" fontId="12" fillId="0" borderId="0" xfId="0" applyNumberFormat="1" applyFont="1" applyFill="1" applyBorder="1"/>
    <xf numFmtId="167" fontId="0" fillId="0" borderId="0" xfId="0" applyNumberFormat="1"/>
    <xf numFmtId="3" fontId="0" fillId="0" borderId="0" xfId="0" applyNumberFormat="1" applyAlignment="1">
      <alignment horizontal="left"/>
    </xf>
    <xf numFmtId="9" fontId="5" fillId="0" borderId="0" xfId="182" applyFont="1" applyFill="1"/>
    <xf numFmtId="177" fontId="5" fillId="0" borderId="0" xfId="0" applyNumberFormat="1" applyFont="1" applyBorder="1"/>
    <xf numFmtId="174" fontId="12" fillId="0" borderId="21" xfId="0" applyNumberFormat="1" applyFont="1" applyFill="1" applyBorder="1"/>
    <xf numFmtId="173" fontId="5" fillId="0" borderId="21" xfId="0" applyNumberFormat="1" applyFont="1" applyBorder="1"/>
    <xf numFmtId="173" fontId="11" fillId="0" borderId="0" xfId="182" applyNumberFormat="1" applyFont="1" applyFill="1" applyBorder="1"/>
    <xf numFmtId="0" fontId="72" fillId="0" borderId="0" xfId="0" applyFont="1" applyAlignment="1">
      <alignment horizontal="left"/>
    </xf>
    <xf numFmtId="0" fontId="5" fillId="0" borderId="0" xfId="0" applyFont="1" applyAlignment="1">
      <alignment horizontal="left" wrapText="1"/>
    </xf>
    <xf numFmtId="0" fontId="5" fillId="0" borderId="0" xfId="0" applyFont="1" applyFill="1" applyAlignment="1">
      <alignment horizontal="left" wrapText="1"/>
    </xf>
    <xf numFmtId="0" fontId="4" fillId="0" borderId="0" xfId="0" applyFont="1" applyAlignment="1">
      <alignment horizontal="left"/>
    </xf>
    <xf numFmtId="0" fontId="0" fillId="0" borderId="0" xfId="0" applyAlignment="1">
      <alignment horizontal="left"/>
    </xf>
    <xf numFmtId="1" fontId="72" fillId="0" borderId="0" xfId="0" applyNumberFormat="1" applyFont="1" applyAlignment="1">
      <alignment horizontal="left"/>
    </xf>
    <xf numFmtId="0" fontId="72" fillId="0" borderId="0" xfId="0" applyFont="1" applyFill="1" applyAlignment="1">
      <alignment horizontal="left"/>
    </xf>
    <xf numFmtId="1" fontId="72" fillId="0" borderId="0" xfId="0" applyNumberFormat="1" applyFont="1" applyFill="1" applyAlignment="1">
      <alignment horizontal="left"/>
    </xf>
    <xf numFmtId="0" fontId="4" fillId="0" borderId="0" xfId="0" applyFont="1" applyFill="1" applyAlignment="1">
      <alignment horizontal="left"/>
    </xf>
    <xf numFmtId="0" fontId="0" fillId="0" borderId="0" xfId="0" applyFill="1" applyAlignment="1">
      <alignment horizontal="left" wrapText="1"/>
    </xf>
    <xf numFmtId="0" fontId="5" fillId="0" borderId="0" xfId="0" applyFont="1" applyAlignment="1">
      <alignment wrapText="1"/>
    </xf>
    <xf numFmtId="0" fontId="0" fillId="0" borderId="0" xfId="0" applyAlignment="1">
      <alignment wrapText="1"/>
    </xf>
    <xf numFmtId="0" fontId="5" fillId="0" borderId="0" xfId="0" applyFont="1" applyFill="1" applyAlignment="1">
      <alignment horizontal="left" vertical="center" wrapText="1"/>
    </xf>
    <xf numFmtId="0" fontId="0" fillId="0" borderId="0" xfId="0" applyFill="1" applyAlignment="1">
      <alignment horizontal="left" vertical="center" wrapText="1"/>
    </xf>
    <xf numFmtId="0" fontId="72" fillId="0" borderId="0" xfId="0" applyFont="1" applyFill="1" applyBorder="1" applyAlignment="1">
      <alignment horizontal="left"/>
    </xf>
    <xf numFmtId="0" fontId="5" fillId="0" borderId="0" xfId="0" applyFont="1" applyFill="1" applyAlignment="1">
      <alignment horizontal="left" vertical="top" wrapText="1"/>
    </xf>
    <xf numFmtId="0" fontId="0" fillId="0" borderId="0" xfId="0" applyFill="1" applyAlignment="1">
      <alignment horizontal="left" vertical="top" wrapText="1"/>
    </xf>
    <xf numFmtId="0" fontId="4" fillId="0" borderId="20" xfId="0" applyFont="1" applyBorder="1" applyAlignment="1">
      <alignment horizontal="left"/>
    </xf>
    <xf numFmtId="1" fontId="72" fillId="0" borderId="0" xfId="0" applyNumberFormat="1" applyFont="1" applyFill="1" applyBorder="1" applyAlignment="1">
      <alignment horizontal="left"/>
    </xf>
    <xf numFmtId="0" fontId="0" fillId="0" borderId="0" xfId="0" applyFill="1" applyAlignment="1">
      <alignment horizontal="left"/>
    </xf>
    <xf numFmtId="1" fontId="72" fillId="0" borderId="0" xfId="0" applyNumberFormat="1" applyFont="1" applyBorder="1" applyAlignment="1">
      <alignment horizontal="left"/>
    </xf>
    <xf numFmtId="0" fontId="5" fillId="0" borderId="0" xfId="0" applyFont="1" applyFill="1" applyAlignment="1">
      <alignment horizontal="left"/>
    </xf>
    <xf numFmtId="0" fontId="0" fillId="0" borderId="0" xfId="0" applyAlignment="1">
      <alignment horizontal="left"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xf>
    <xf numFmtId="0" fontId="0" fillId="0" borderId="0" xfId="0" applyFill="1" applyAlignment="1">
      <alignment vertical="top" wrapText="1"/>
    </xf>
    <xf numFmtId="0" fontId="72" fillId="0" borderId="0" xfId="0" applyFont="1" applyAlignment="1"/>
    <xf numFmtId="1" fontId="5" fillId="0" borderId="0" xfId="0" applyNumberFormat="1" applyFont="1" applyAlignment="1">
      <alignment horizontal="lef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Fill="1"/>
    <xf numFmtId="0" fontId="73" fillId="0" borderId="0" xfId="0" applyFont="1" applyAlignment="1"/>
    <xf numFmtId="0" fontId="0" fillId="0" borderId="0" xfId="0" applyAlignment="1">
      <alignment vertical="top" wrapText="1"/>
    </xf>
    <xf numFmtId="0" fontId="72" fillId="0" borderId="0" xfId="0" applyFont="1" applyAlignment="1">
      <alignment horizontal="left" wrapText="1"/>
    </xf>
    <xf numFmtId="0" fontId="0" fillId="0" borderId="0" xfId="0" applyAlignment="1"/>
    <xf numFmtId="0" fontId="72" fillId="0" borderId="0" xfId="0" applyFont="1" applyAlignment="1">
      <alignment horizontal="left" vertical="top" wrapText="1"/>
    </xf>
    <xf numFmtId="0" fontId="72" fillId="0" borderId="0" xfId="0" applyFont="1" applyBorder="1" applyAlignment="1">
      <alignment horizontal="left"/>
    </xf>
    <xf numFmtId="0" fontId="5" fillId="0" borderId="0" xfId="0" applyFont="1" applyBorder="1" applyAlignment="1">
      <alignment horizontal="left"/>
    </xf>
    <xf numFmtId="0" fontId="5" fillId="0" borderId="0" xfId="0" applyFont="1" applyAlignment="1"/>
    <xf numFmtId="0" fontId="4" fillId="0" borderId="20" xfId="0" applyFont="1" applyBorder="1" applyAlignment="1">
      <alignment horizontal="left" vertical="top" wrapText="1"/>
    </xf>
    <xf numFmtId="0" fontId="4" fillId="0" borderId="20" xfId="0" applyFont="1" applyBorder="1" applyAlignment="1"/>
    <xf numFmtId="0" fontId="72" fillId="0" borderId="0" xfId="0" applyFont="1" applyAlignment="1">
      <alignment wrapText="1"/>
    </xf>
    <xf numFmtId="0" fontId="73" fillId="0" borderId="0" xfId="0" applyFont="1" applyAlignment="1">
      <alignment wrapText="1"/>
    </xf>
    <xf numFmtId="0" fontId="4" fillId="0" borderId="20" xfId="0" applyFont="1" applyBorder="1" applyAlignment="1">
      <alignment vertical="top" wrapText="1"/>
    </xf>
  </cellXfs>
  <cellStyles count="245">
    <cellStyle name="20 % - Akzent1" xfId="1" builtinId="30" customBuiltin="1"/>
    <cellStyle name="20 % - Akzent1 2" xfId="2"/>
    <cellStyle name="20 % - Akzent1 3" xfId="233"/>
    <cellStyle name="20 % - Akzent2" xfId="3" builtinId="34" customBuiltin="1"/>
    <cellStyle name="20 % - Akzent2 2" xfId="4"/>
    <cellStyle name="20 % - Akzent2 3" xfId="235"/>
    <cellStyle name="20 % - Akzent3" xfId="5" builtinId="38" customBuiltin="1"/>
    <cellStyle name="20 % - Akzent3 2" xfId="6"/>
    <cellStyle name="20 % - Akzent3 3" xfId="237"/>
    <cellStyle name="20 % - Akzent4" xfId="7" builtinId="42" customBuiltin="1"/>
    <cellStyle name="20 % - Akzent4 2" xfId="8"/>
    <cellStyle name="20 % - Akzent4 3" xfId="239"/>
    <cellStyle name="20 % - Akzent5" xfId="9" builtinId="46" customBuiltin="1"/>
    <cellStyle name="20 % - Akzent5 2" xfId="10"/>
    <cellStyle name="20 % - Akzent5 3" xfId="241"/>
    <cellStyle name="20 % - Akzent6" xfId="11" builtinId="50" customBuiltin="1"/>
    <cellStyle name="20 % - Akzent6 2" xfId="12"/>
    <cellStyle name="20 % - Akzent6 3" xfId="243"/>
    <cellStyle name="20% - Accent1" xfId="13"/>
    <cellStyle name="20% - Accent2" xfId="14"/>
    <cellStyle name="20% - Accent3" xfId="15"/>
    <cellStyle name="20% - Accent4" xfId="16"/>
    <cellStyle name="20% - Accent5" xfId="17"/>
    <cellStyle name="20% - Accent6" xfId="18"/>
    <cellStyle name="40 % - Akzent1" xfId="19" builtinId="31" customBuiltin="1"/>
    <cellStyle name="40 % - Akzent1 2" xfId="20"/>
    <cellStyle name="40 % - Akzent1 3" xfId="234"/>
    <cellStyle name="40 % - Akzent2" xfId="21" builtinId="35" customBuiltin="1"/>
    <cellStyle name="40 % - Akzent2 2" xfId="22"/>
    <cellStyle name="40 % - Akzent2 3" xfId="236"/>
    <cellStyle name="40 % - Akzent3" xfId="23" builtinId="39" customBuiltin="1"/>
    <cellStyle name="40 % - Akzent3 2" xfId="24"/>
    <cellStyle name="40 % - Akzent3 3" xfId="238"/>
    <cellStyle name="40 % - Akzent4" xfId="25" builtinId="43" customBuiltin="1"/>
    <cellStyle name="40 % - Akzent4 2" xfId="26"/>
    <cellStyle name="40 % - Akzent4 3" xfId="240"/>
    <cellStyle name="40 % - Akzent5" xfId="27" builtinId="47" customBuiltin="1"/>
    <cellStyle name="40 % - Akzent5 2" xfId="28"/>
    <cellStyle name="40 % - Akzent5 3" xfId="242"/>
    <cellStyle name="40 % - Akzent6" xfId="29" builtinId="51" customBuiltin="1"/>
    <cellStyle name="40 % - Akzent6 2" xfId="30"/>
    <cellStyle name="40 % - Akzent6 3" xfId="244"/>
    <cellStyle name="40% - Accent1" xfId="31"/>
    <cellStyle name="40% - Accent2" xfId="32"/>
    <cellStyle name="40% - Accent3" xfId="33"/>
    <cellStyle name="40% - Accent4" xfId="34"/>
    <cellStyle name="40% - Accent5" xfId="35"/>
    <cellStyle name="40% - Accent6" xfId="36"/>
    <cellStyle name="60 % - Akzent1" xfId="37" builtinId="32" customBuiltin="1"/>
    <cellStyle name="60 % - Akzent1 2" xfId="38"/>
    <cellStyle name="60 % - Akzent2" xfId="39" builtinId="36" customBuiltin="1"/>
    <cellStyle name="60 % - Akzent2 2" xfId="40"/>
    <cellStyle name="60 % - Akzent3" xfId="41" builtinId="40" customBuiltin="1"/>
    <cellStyle name="60 % - Akzent3 2" xfId="42"/>
    <cellStyle name="60 % - Akzent4" xfId="43" builtinId="44" customBuiltin="1"/>
    <cellStyle name="60 % - Akzent4 2" xfId="44"/>
    <cellStyle name="60 % - Akzent5" xfId="45" builtinId="48" customBuiltin="1"/>
    <cellStyle name="60 % - Akzent5 2" xfId="46"/>
    <cellStyle name="60 % - Akzent6" xfId="47" builtinId="52" customBuiltin="1"/>
    <cellStyle name="60 % - Akzent6 2" xfId="48"/>
    <cellStyle name="60% - Accent1" xfId="49"/>
    <cellStyle name="60% - Accent2" xfId="50"/>
    <cellStyle name="60% - Accent3" xfId="51"/>
    <cellStyle name="60% - Accent4" xfId="52"/>
    <cellStyle name="60% - Accent5" xfId="53"/>
    <cellStyle name="60% - Accent6" xfId="54"/>
    <cellStyle name="Accent1" xfId="55"/>
    <cellStyle name="Accent2" xfId="56"/>
    <cellStyle name="Accent3" xfId="57"/>
    <cellStyle name="Accent4" xfId="58"/>
    <cellStyle name="Accent5" xfId="59"/>
    <cellStyle name="Accent6" xfId="60"/>
    <cellStyle name="Akzent1" xfId="61" builtinId="29" customBuiltin="1"/>
    <cellStyle name="Akzent1 2" xfId="62"/>
    <cellStyle name="Akzent2" xfId="63" builtinId="33" customBuiltin="1"/>
    <cellStyle name="Akzent2 2" xfId="64"/>
    <cellStyle name="Akzent3" xfId="65" builtinId="37" customBuiltin="1"/>
    <cellStyle name="Akzent3 2" xfId="66"/>
    <cellStyle name="Akzent4" xfId="67" builtinId="41" customBuiltin="1"/>
    <cellStyle name="Akzent4 2" xfId="68"/>
    <cellStyle name="Akzent5" xfId="69" builtinId="45" customBuiltin="1"/>
    <cellStyle name="Akzent5 2" xfId="70"/>
    <cellStyle name="Akzent6" xfId="71" builtinId="49" customBuiltin="1"/>
    <cellStyle name="Akzent6 2" xfId="72"/>
    <cellStyle name="Ausgabe" xfId="73" builtinId="21" customBuiltin="1"/>
    <cellStyle name="Ausgabe 2" xfId="74"/>
    <cellStyle name="Bad" xfId="75"/>
    <cellStyle name="Berechnung" xfId="76" builtinId="22" customBuiltin="1"/>
    <cellStyle name="Berechnung 2" xfId="77"/>
    <cellStyle name="Besuchter Hyperlink 2" xfId="78"/>
    <cellStyle name="Calculation" xfId="79"/>
    <cellStyle name="Check Cell" xfId="80"/>
    <cellStyle name="Dezimal [0] 2" xfId="81"/>
    <cellStyle name="Eingabe" xfId="82" builtinId="20" customBuiltin="1"/>
    <cellStyle name="Eingabe 2" xfId="83"/>
    <cellStyle name="Ergebnis" xfId="84" builtinId="25" customBuiltin="1"/>
    <cellStyle name="Ergebnis 2" xfId="85"/>
    <cellStyle name="Erklärender Text" xfId="86" builtinId="53" customBuiltin="1"/>
    <cellStyle name="Erklärender Text 2" xfId="87"/>
    <cellStyle name="Explanatory Text" xfId="88"/>
    <cellStyle name="Good" xfId="89"/>
    <cellStyle name="Gut" xfId="90" builtinId="26" customBuiltin="1"/>
    <cellStyle name="Gut 2" xfId="91"/>
    <cellStyle name="Heading 1" xfId="92"/>
    <cellStyle name="Heading 2" xfId="93"/>
    <cellStyle name="Heading 3" xfId="94"/>
    <cellStyle name="Heading 4" xfId="95"/>
    <cellStyle name="Hyperlink" xfId="96" builtinId="8"/>
    <cellStyle name="Hyperlink 2" xfId="97"/>
    <cellStyle name="Hyperlink 2 2" xfId="98"/>
    <cellStyle name="Input" xfId="99"/>
    <cellStyle name="Komma" xfId="100" builtinId="3"/>
    <cellStyle name="Komma 2" xfId="101"/>
    <cellStyle name="Komma 2 2" xfId="102"/>
    <cellStyle name="Komma 2 2 2" xfId="103"/>
    <cellStyle name="Komma 2 3" xfId="104"/>
    <cellStyle name="Komma 2 3 2" xfId="105"/>
    <cellStyle name="Komma 3" xfId="106"/>
    <cellStyle name="Komma 3 2" xfId="107"/>
    <cellStyle name="Komma 4" xfId="108"/>
    <cellStyle name="Linked Cell" xfId="109"/>
    <cellStyle name="Neutral" xfId="110" builtinId="28" customBuiltin="1"/>
    <cellStyle name="Neutral 2" xfId="111"/>
    <cellStyle name="Neutral 2 2" xfId="112"/>
    <cellStyle name="Normal 10" xfId="113"/>
    <cellStyle name="Normal 10 2" xfId="114"/>
    <cellStyle name="Normal 10 2 2" xfId="115"/>
    <cellStyle name="Normal 10 2 2 2" xfId="116"/>
    <cellStyle name="Normal 10 2 3" xfId="117"/>
    <cellStyle name="Normal 10 3" xfId="118"/>
    <cellStyle name="Normal 10 3 2" xfId="119"/>
    <cellStyle name="Normal 10 4" xfId="120"/>
    <cellStyle name="Normal 11" xfId="121"/>
    <cellStyle name="Normal 11 2" xfId="122"/>
    <cellStyle name="Normal 12" xfId="123"/>
    <cellStyle name="Normal 12 2" xfId="124"/>
    <cellStyle name="Normal 13" xfId="125"/>
    <cellStyle name="Normal 14" xfId="126"/>
    <cellStyle name="Normal 15" xfId="127"/>
    <cellStyle name="Normal 16" xfId="128"/>
    <cellStyle name="Normal 17" xfId="129"/>
    <cellStyle name="Normal 18" xfId="130"/>
    <cellStyle name="Normal 2" xfId="131"/>
    <cellStyle name="Normal 2 2" xfId="132"/>
    <cellStyle name="Normal 2 3" xfId="133"/>
    <cellStyle name="Normal 2 4" xfId="134"/>
    <cellStyle name="Normal 2_STO" xfId="135"/>
    <cellStyle name="Normal 3" xfId="136"/>
    <cellStyle name="Normal 3 2" xfId="137"/>
    <cellStyle name="Normal 3 2 2" xfId="138"/>
    <cellStyle name="Normal 3 3" xfId="139"/>
    <cellStyle name="Normal 3 3 2" xfId="140"/>
    <cellStyle name="Normal 3 4" xfId="141"/>
    <cellStyle name="Normal 4" xfId="142"/>
    <cellStyle name="Normal 4 2" xfId="143"/>
    <cellStyle name="Normal 4 2 2" xfId="144"/>
    <cellStyle name="Normal 4 3" xfId="145"/>
    <cellStyle name="Normal 4 3 2" xfId="146"/>
    <cellStyle name="Normal 4 4" xfId="147"/>
    <cellStyle name="Normal 5" xfId="148"/>
    <cellStyle name="Normal 5 2" xfId="149"/>
    <cellStyle name="Normal 6" xfId="150"/>
    <cellStyle name="Normal 6 2" xfId="151"/>
    <cellStyle name="Normal 7" xfId="152"/>
    <cellStyle name="Normal 7 2" xfId="153"/>
    <cellStyle name="Normal 7 2 2" xfId="154"/>
    <cellStyle name="Normal 7 2 2 2" xfId="155"/>
    <cellStyle name="Normal 7 2 3" xfId="156"/>
    <cellStyle name="Normal 7 3" xfId="157"/>
    <cellStyle name="Normal 7 3 2" xfId="158"/>
    <cellStyle name="Normal 7 4" xfId="159"/>
    <cellStyle name="Normal 7 5" xfId="160"/>
    <cellStyle name="Normal 8" xfId="161"/>
    <cellStyle name="Normal 8 2" xfId="162"/>
    <cellStyle name="Normal 8 2 2" xfId="163"/>
    <cellStyle name="Normal 8 2 2 2" xfId="164"/>
    <cellStyle name="Normal 8 2 3" xfId="165"/>
    <cellStyle name="Normal 8 3" xfId="166"/>
    <cellStyle name="Normal 8 3 2" xfId="167"/>
    <cellStyle name="Normal 8 4" xfId="168"/>
    <cellStyle name="Normal 9" xfId="169"/>
    <cellStyle name="Normal 9 2" xfId="170"/>
    <cellStyle name="Normal 9 2 2" xfId="171"/>
    <cellStyle name="Normal 9 2 2 2" xfId="172"/>
    <cellStyle name="Normal 9 2 3" xfId="173"/>
    <cellStyle name="Normal 9 3" xfId="174"/>
    <cellStyle name="Normal 9 3 2" xfId="175"/>
    <cellStyle name="Normal 9 4" xfId="176"/>
    <cellStyle name="Normal_0212-07" xfId="177"/>
    <cellStyle name="Note" xfId="178"/>
    <cellStyle name="Notiz 2" xfId="179"/>
    <cellStyle name="Notiz 3" xfId="180"/>
    <cellStyle name="Notiz 4" xfId="232"/>
    <cellStyle name="Output" xfId="181"/>
    <cellStyle name="Prozent" xfId="182" builtinId="5"/>
    <cellStyle name="Prozent 2" xfId="183"/>
    <cellStyle name="Prozent 2 2" xfId="184"/>
    <cellStyle name="Prozent 2 2 2" xfId="185"/>
    <cellStyle name="Prozent 3" xfId="186"/>
    <cellStyle name="Prozent 3 2" xfId="187"/>
    <cellStyle name="Prozent 3 2 2" xfId="188"/>
    <cellStyle name="Prozent 3 3" xfId="189"/>
    <cellStyle name="Prozent 3 4" xfId="190"/>
    <cellStyle name="Prozent 3 5" xfId="191"/>
    <cellStyle name="Prozent 4" xfId="192"/>
    <cellStyle name="Prozent 4 2" xfId="193"/>
    <cellStyle name="Prozent 4 3" xfId="194"/>
    <cellStyle name="Prozent 4 4" xfId="195"/>
    <cellStyle name="Prozent 5" xfId="196"/>
    <cellStyle name="Prozent 5 2" xfId="197"/>
    <cellStyle name="Schlecht" xfId="198" builtinId="27" customBuiltin="1"/>
    <cellStyle name="Schlecht 2" xfId="199"/>
    <cellStyle name="Standard" xfId="0" builtinId="0"/>
    <cellStyle name="Standard 2" xfId="200"/>
    <cellStyle name="Standard 2 2" xfId="201"/>
    <cellStyle name="Standard 2 2 2" xfId="202"/>
    <cellStyle name="Standard 3" xfId="203"/>
    <cellStyle name="Standard 3 2" xfId="204"/>
    <cellStyle name="Standard 3 2 2" xfId="205"/>
    <cellStyle name="Standard 3 3" xfId="206"/>
    <cellStyle name="Standard 3 4" xfId="207"/>
    <cellStyle name="Standard 4" xfId="208"/>
    <cellStyle name="Standard 4 2" xfId="209"/>
    <cellStyle name="Standard 5" xfId="210"/>
    <cellStyle name="Standard 6" xfId="231"/>
    <cellStyle name="Style 1" xfId="211"/>
    <cellStyle name="Title" xfId="212"/>
    <cellStyle name="Total" xfId="213"/>
    <cellStyle name="Überschrift" xfId="214" builtinId="15" customBuiltin="1"/>
    <cellStyle name="Überschrift 1" xfId="215" builtinId="16" customBuiltin="1"/>
    <cellStyle name="Überschrift 1 2" xfId="216"/>
    <cellStyle name="Überschrift 2" xfId="217" builtinId="17" customBuiltin="1"/>
    <cellStyle name="Überschrift 2 2" xfId="218"/>
    <cellStyle name="Überschrift 3" xfId="219" builtinId="18" customBuiltin="1"/>
    <cellStyle name="Überschrift 3 2" xfId="220"/>
    <cellStyle name="Überschrift 4" xfId="221" builtinId="19" customBuiltin="1"/>
    <cellStyle name="Überschrift 4 2" xfId="222"/>
    <cellStyle name="Überschrift 5" xfId="223"/>
    <cellStyle name="Verknüpfte Zelle" xfId="224" builtinId="24" customBuiltin="1"/>
    <cellStyle name="Verknüpfte Zelle 2" xfId="225"/>
    <cellStyle name="Warnender Text" xfId="226" builtinId="11" customBuiltin="1"/>
    <cellStyle name="Warnender Text 2" xfId="227"/>
    <cellStyle name="Warning Text" xfId="228"/>
    <cellStyle name="Zelle überprüfen" xfId="229" builtinId="23" customBuiltin="1"/>
    <cellStyle name="Zelle überprüfen 2" xfId="2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69.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0.xml.rels><?xml version="1.0" encoding="UTF-8" standalone="yes"?>
<Relationships xmlns="http://schemas.openxmlformats.org/package/2006/relationships"><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71.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72.xml.rels><?xml version="1.0" encoding="UTF-8" standalone="yes"?>
<Relationships xmlns="http://schemas.openxmlformats.org/package/2006/relationships"><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4"/>
  <sheetViews>
    <sheetView tabSelected="1" zoomScaleNormal="100" workbookViewId="0">
      <selection activeCell="B22" sqref="B22"/>
    </sheetView>
  </sheetViews>
  <sheetFormatPr baseColWidth="10" defaultRowHeight="12.75"/>
  <cols>
    <col min="1" max="1" width="103" customWidth="1"/>
    <col min="2" max="2" width="7.42578125" style="13" customWidth="1"/>
  </cols>
  <sheetData>
    <row r="1" spans="1:2" ht="15.75">
      <c r="A1" s="118" t="s">
        <v>753</v>
      </c>
    </row>
    <row r="3" spans="1:2">
      <c r="A3" s="1" t="s">
        <v>744</v>
      </c>
      <c r="B3" s="2" t="s">
        <v>745</v>
      </c>
    </row>
    <row r="4" spans="1:2" ht="15">
      <c r="A4" s="323" t="s">
        <v>607</v>
      </c>
      <c r="B4" s="324"/>
    </row>
    <row r="5" spans="1:2">
      <c r="A5" s="77" t="s">
        <v>292</v>
      </c>
      <c r="B5" s="79">
        <v>1.1000000000000001</v>
      </c>
    </row>
    <row r="6" spans="1:2">
      <c r="A6" s="77" t="s">
        <v>294</v>
      </c>
      <c r="B6" s="79">
        <v>1.2</v>
      </c>
    </row>
    <row r="7" spans="1:2">
      <c r="B7" s="78"/>
    </row>
    <row r="8" spans="1:2" ht="15">
      <c r="A8" s="323" t="s">
        <v>608</v>
      </c>
      <c r="B8" s="325"/>
    </row>
    <row r="9" spans="1:2">
      <c r="A9" s="326" t="s">
        <v>266</v>
      </c>
      <c r="B9" s="327"/>
    </row>
    <row r="10" spans="1:2">
      <c r="A10" s="77" t="s">
        <v>483</v>
      </c>
      <c r="B10" s="79" t="s">
        <v>609</v>
      </c>
    </row>
    <row r="11" spans="1:2">
      <c r="A11" s="77" t="s">
        <v>484</v>
      </c>
      <c r="B11" s="79" t="s">
        <v>610</v>
      </c>
    </row>
    <row r="12" spans="1:2">
      <c r="A12" s="77" t="s">
        <v>485</v>
      </c>
      <c r="B12" s="79" t="s">
        <v>611</v>
      </c>
    </row>
    <row r="13" spans="1:2">
      <c r="A13" s="77" t="s">
        <v>486</v>
      </c>
      <c r="B13" s="79" t="s">
        <v>612</v>
      </c>
    </row>
    <row r="14" spans="1:2">
      <c r="A14" s="326" t="s">
        <v>51</v>
      </c>
      <c r="B14" s="327"/>
    </row>
    <row r="15" spans="1:2">
      <c r="A15" s="77" t="s">
        <v>317</v>
      </c>
      <c r="B15" s="79" t="s">
        <v>613</v>
      </c>
    </row>
    <row r="16" spans="1:2">
      <c r="A16" s="77" t="s">
        <v>327</v>
      </c>
      <c r="B16" s="79" t="s">
        <v>614</v>
      </c>
    </row>
    <row r="17" spans="1:2">
      <c r="A17" s="77" t="s">
        <v>318</v>
      </c>
      <c r="B17" s="79" t="s">
        <v>615</v>
      </c>
    </row>
    <row r="18" spans="1:2">
      <c r="A18" s="77" t="s">
        <v>326</v>
      </c>
      <c r="B18" s="79" t="s">
        <v>616</v>
      </c>
    </row>
    <row r="19" spans="1:2">
      <c r="A19" s="77" t="s">
        <v>487</v>
      </c>
      <c r="B19" s="79" t="s">
        <v>617</v>
      </c>
    </row>
    <row r="20" spans="1:2">
      <c r="A20" s="77" t="s">
        <v>488</v>
      </c>
      <c r="B20" s="79" t="s">
        <v>618</v>
      </c>
    </row>
    <row r="21" spans="1:2">
      <c r="A21" s="77" t="s">
        <v>352</v>
      </c>
      <c r="B21" s="79" t="s">
        <v>619</v>
      </c>
    </row>
    <row r="22" spans="1:2">
      <c r="A22" s="326" t="s">
        <v>4</v>
      </c>
      <c r="B22" s="327"/>
    </row>
    <row r="23" spans="1:2">
      <c r="A23" s="77" t="s">
        <v>319</v>
      </c>
      <c r="B23" s="79" t="s">
        <v>620</v>
      </c>
    </row>
    <row r="24" spans="1:2">
      <c r="A24" s="77" t="s">
        <v>320</v>
      </c>
      <c r="B24" s="79" t="s">
        <v>621</v>
      </c>
    </row>
    <row r="25" spans="1:2">
      <c r="A25" s="77" t="s">
        <v>321</v>
      </c>
      <c r="B25" s="79" t="s">
        <v>622</v>
      </c>
    </row>
    <row r="26" spans="1:2">
      <c r="A26" s="77" t="s">
        <v>322</v>
      </c>
      <c r="B26" s="79" t="s">
        <v>623</v>
      </c>
    </row>
    <row r="27" spans="1:2">
      <c r="A27" s="326" t="s">
        <v>5</v>
      </c>
      <c r="B27" s="327"/>
    </row>
    <row r="28" spans="1:2">
      <c r="A28" s="77" t="s">
        <v>489</v>
      </c>
      <c r="B28" s="79" t="s">
        <v>624</v>
      </c>
    </row>
    <row r="29" spans="1:2">
      <c r="A29" s="77" t="s">
        <v>490</v>
      </c>
      <c r="B29" s="79" t="s">
        <v>625</v>
      </c>
    </row>
    <row r="30" spans="1:2">
      <c r="A30" s="77" t="s">
        <v>491</v>
      </c>
      <c r="B30" s="79" t="s">
        <v>626</v>
      </c>
    </row>
    <row r="31" spans="1:2">
      <c r="A31" s="77" t="s">
        <v>513</v>
      </c>
      <c r="B31" s="79" t="s">
        <v>627</v>
      </c>
    </row>
    <row r="32" spans="1:2">
      <c r="A32" s="326" t="s">
        <v>628</v>
      </c>
      <c r="B32" s="327"/>
    </row>
    <row r="33" spans="1:2">
      <c r="A33" s="77" t="s">
        <v>492</v>
      </c>
      <c r="B33" s="80" t="s">
        <v>629</v>
      </c>
    </row>
    <row r="34" spans="1:2">
      <c r="A34" s="77" t="s">
        <v>514</v>
      </c>
      <c r="B34" s="79" t="s">
        <v>630</v>
      </c>
    </row>
    <row r="35" spans="1:2">
      <c r="A35" s="326" t="s">
        <v>79</v>
      </c>
      <c r="B35" s="327"/>
    </row>
    <row r="36" spans="1:2">
      <c r="A36" s="77" t="s">
        <v>493</v>
      </c>
      <c r="B36" s="79" t="s">
        <v>631</v>
      </c>
    </row>
    <row r="37" spans="1:2">
      <c r="A37" s="326" t="s">
        <v>9</v>
      </c>
      <c r="B37" s="327"/>
    </row>
    <row r="38" spans="1:2">
      <c r="A38" s="77" t="s">
        <v>494</v>
      </c>
      <c r="B38" s="79" t="s">
        <v>632</v>
      </c>
    </row>
    <row r="39" spans="1:2">
      <c r="A39" s="326" t="s">
        <v>10</v>
      </c>
      <c r="B39" s="327"/>
    </row>
    <row r="40" spans="1:2">
      <c r="A40" s="77" t="s">
        <v>495</v>
      </c>
      <c r="B40" s="79" t="s">
        <v>633</v>
      </c>
    </row>
    <row r="41" spans="1:2">
      <c r="A41" s="77" t="s">
        <v>496</v>
      </c>
      <c r="B41" s="79" t="s">
        <v>634</v>
      </c>
    </row>
    <row r="42" spans="1:2">
      <c r="A42" s="77" t="s">
        <v>497</v>
      </c>
      <c r="B42" s="79" t="s">
        <v>635</v>
      </c>
    </row>
    <row r="43" spans="1:2">
      <c r="A43" s="326" t="s">
        <v>107</v>
      </c>
      <c r="B43" s="327"/>
    </row>
    <row r="44" spans="1:2">
      <c r="A44" s="77" t="s">
        <v>498</v>
      </c>
      <c r="B44" s="79" t="s">
        <v>636</v>
      </c>
    </row>
    <row r="45" spans="1:2">
      <c r="A45" s="326" t="s">
        <v>637</v>
      </c>
      <c r="B45" s="327"/>
    </row>
    <row r="46" spans="1:2">
      <c r="A46" s="77" t="s">
        <v>499</v>
      </c>
      <c r="B46" s="79" t="s">
        <v>638</v>
      </c>
    </row>
    <row r="47" spans="1:2">
      <c r="A47" s="77" t="s">
        <v>500</v>
      </c>
      <c r="B47" s="79" t="s">
        <v>639</v>
      </c>
    </row>
    <row r="48" spans="1:2">
      <c r="A48" s="77" t="s">
        <v>501</v>
      </c>
      <c r="B48" s="79" t="s">
        <v>640</v>
      </c>
    </row>
    <row r="49" spans="1:2">
      <c r="A49" s="326" t="s">
        <v>25</v>
      </c>
      <c r="B49" s="327"/>
    </row>
    <row r="50" spans="1:2">
      <c r="A50" s="77" t="s">
        <v>502</v>
      </c>
      <c r="B50" s="328" t="s">
        <v>641</v>
      </c>
    </row>
    <row r="51" spans="1:2">
      <c r="A51" s="77" t="s">
        <v>503</v>
      </c>
      <c r="B51" s="79" t="s">
        <v>642</v>
      </c>
    </row>
    <row r="52" spans="1:2">
      <c r="A52" s="326" t="s">
        <v>643</v>
      </c>
      <c r="B52" s="327"/>
    </row>
    <row r="53" spans="1:2">
      <c r="A53" s="77" t="s">
        <v>504</v>
      </c>
      <c r="B53" s="79" t="s">
        <v>644</v>
      </c>
    </row>
    <row r="54" spans="1:2">
      <c r="A54" s="77" t="s">
        <v>505</v>
      </c>
      <c r="B54" s="79" t="s">
        <v>645</v>
      </c>
    </row>
    <row r="55" spans="1:2">
      <c r="B55" s="78"/>
    </row>
    <row r="56" spans="1:2" ht="15">
      <c r="A56" s="323" t="s">
        <v>646</v>
      </c>
      <c r="B56" s="325"/>
    </row>
    <row r="57" spans="1:2">
      <c r="A57" s="326" t="s">
        <v>647</v>
      </c>
      <c r="B57" s="327"/>
    </row>
    <row r="58" spans="1:2">
      <c r="A58" s="77" t="s">
        <v>315</v>
      </c>
      <c r="B58" s="79" t="s">
        <v>600</v>
      </c>
    </row>
    <row r="59" spans="1:2">
      <c r="A59" s="77" t="s">
        <v>297</v>
      </c>
      <c r="B59" s="79" t="s">
        <v>648</v>
      </c>
    </row>
    <row r="60" spans="1:2">
      <c r="A60" s="326" t="s">
        <v>649</v>
      </c>
      <c r="B60" s="327"/>
    </row>
    <row r="61" spans="1:2">
      <c r="A61" s="77" t="s">
        <v>298</v>
      </c>
      <c r="B61" s="79" t="s">
        <v>601</v>
      </c>
    </row>
    <row r="62" spans="1:2">
      <c r="A62" s="77" t="s">
        <v>299</v>
      </c>
      <c r="B62" s="79" t="s">
        <v>650</v>
      </c>
    </row>
    <row r="63" spans="1:2">
      <c r="A63" s="77" t="s">
        <v>300</v>
      </c>
      <c r="B63" s="79" t="s">
        <v>602</v>
      </c>
    </row>
    <row r="64" spans="1:2">
      <c r="A64" s="326" t="s">
        <v>651</v>
      </c>
      <c r="B64" s="327"/>
    </row>
    <row r="65" spans="1:2">
      <c r="A65" s="77" t="s">
        <v>302</v>
      </c>
      <c r="B65" s="79" t="s">
        <v>603</v>
      </c>
    </row>
    <row r="66" spans="1:2">
      <c r="A66" s="77" t="s">
        <v>303</v>
      </c>
      <c r="B66" s="79" t="s">
        <v>652</v>
      </c>
    </row>
    <row r="67" spans="1:2">
      <c r="B67" s="78"/>
    </row>
    <row r="68" spans="1:2" ht="15">
      <c r="A68" s="323" t="s">
        <v>653</v>
      </c>
      <c r="B68" s="325"/>
    </row>
    <row r="69" spans="1:2">
      <c r="A69" s="326" t="s">
        <v>654</v>
      </c>
      <c r="B69" s="327"/>
    </row>
    <row r="70" spans="1:2">
      <c r="A70" s="77" t="s">
        <v>305</v>
      </c>
      <c r="B70" s="79" t="s">
        <v>655</v>
      </c>
    </row>
    <row r="71" spans="1:2">
      <c r="A71" s="77" t="s">
        <v>306</v>
      </c>
      <c r="B71" s="79" t="s">
        <v>656</v>
      </c>
    </row>
    <row r="72" spans="1:2">
      <c r="A72" s="326" t="s">
        <v>657</v>
      </c>
      <c r="B72" s="327"/>
    </row>
    <row r="73" spans="1:2">
      <c r="A73" s="77" t="s">
        <v>314</v>
      </c>
      <c r="B73" s="79" t="s">
        <v>658</v>
      </c>
    </row>
    <row r="74" spans="1:2">
      <c r="A74" s="77" t="s">
        <v>307</v>
      </c>
      <c r="B74" s="79" t="s">
        <v>659</v>
      </c>
    </row>
    <row r="75" spans="1:2">
      <c r="A75" s="326" t="s">
        <v>660</v>
      </c>
      <c r="B75" s="327"/>
    </row>
    <row r="76" spans="1:2">
      <c r="A76" s="77" t="s">
        <v>308</v>
      </c>
      <c r="B76" s="79" t="s">
        <v>661</v>
      </c>
    </row>
    <row r="77" spans="1:2">
      <c r="A77" s="77" t="s">
        <v>309</v>
      </c>
      <c r="B77" s="79" t="s">
        <v>662</v>
      </c>
    </row>
    <row r="78" spans="1:2">
      <c r="A78" s="326" t="s">
        <v>663</v>
      </c>
      <c r="B78" s="327"/>
    </row>
    <row r="79" spans="1:2">
      <c r="A79" s="77" t="s">
        <v>311</v>
      </c>
      <c r="B79" s="79" t="s">
        <v>664</v>
      </c>
    </row>
    <row r="80" spans="1:2">
      <c r="A80" s="77" t="s">
        <v>310</v>
      </c>
      <c r="B80" s="79" t="s">
        <v>665</v>
      </c>
    </row>
    <row r="81" spans="1:2">
      <c r="B81" s="78"/>
    </row>
    <row r="82" spans="1:2" ht="15">
      <c r="A82" s="323" t="s">
        <v>666</v>
      </c>
      <c r="B82" s="323"/>
    </row>
    <row r="83" spans="1:2">
      <c r="A83" s="326" t="s">
        <v>667</v>
      </c>
      <c r="B83" s="327"/>
    </row>
    <row r="84" spans="1:2">
      <c r="A84" s="77" t="s">
        <v>668</v>
      </c>
      <c r="B84" s="79" t="s">
        <v>669</v>
      </c>
    </row>
    <row r="85" spans="1:2">
      <c r="A85" s="77" t="s">
        <v>670</v>
      </c>
      <c r="B85" s="79" t="s">
        <v>671</v>
      </c>
    </row>
    <row r="86" spans="1:2">
      <c r="A86" s="326" t="s">
        <v>672</v>
      </c>
      <c r="B86" s="327"/>
    </row>
    <row r="87" spans="1:2">
      <c r="A87" s="77" t="s">
        <v>673</v>
      </c>
      <c r="B87" s="79" t="s">
        <v>674</v>
      </c>
    </row>
    <row r="88" spans="1:2">
      <c r="A88" s="77" t="s">
        <v>675</v>
      </c>
      <c r="B88" s="79" t="s">
        <v>676</v>
      </c>
    </row>
    <row r="89" spans="1:2">
      <c r="B89" s="78"/>
    </row>
    <row r="90" spans="1:2" ht="15">
      <c r="A90" s="323" t="s">
        <v>677</v>
      </c>
      <c r="B90" s="325"/>
    </row>
    <row r="91" spans="1:2">
      <c r="A91" s="77" t="s">
        <v>361</v>
      </c>
      <c r="B91" s="79" t="s">
        <v>678</v>
      </c>
    </row>
    <row r="92" spans="1:2">
      <c r="A92" s="77" t="s">
        <v>369</v>
      </c>
      <c r="B92" s="79" t="s">
        <v>679</v>
      </c>
    </row>
    <row r="93" spans="1:2">
      <c r="A93" s="77" t="s">
        <v>390</v>
      </c>
      <c r="B93" s="79" t="s">
        <v>680</v>
      </c>
    </row>
    <row r="94" spans="1:2">
      <c r="A94" s="77" t="s">
        <v>402</v>
      </c>
      <c r="B94" s="79" t="s">
        <v>681</v>
      </c>
    </row>
    <row r="95" spans="1:2">
      <c r="A95" s="77" t="s">
        <v>475</v>
      </c>
      <c r="B95" s="79" t="s">
        <v>682</v>
      </c>
    </row>
    <row r="96" spans="1:2">
      <c r="A96" s="77" t="s">
        <v>418</v>
      </c>
      <c r="B96" s="79" t="s">
        <v>683</v>
      </c>
    </row>
    <row r="97" spans="1:2">
      <c r="A97" s="77" t="s">
        <v>580</v>
      </c>
      <c r="B97" s="79" t="s">
        <v>684</v>
      </c>
    </row>
    <row r="98" spans="1:2">
      <c r="A98" s="77" t="s">
        <v>570</v>
      </c>
      <c r="B98" s="79" t="s">
        <v>685</v>
      </c>
    </row>
    <row r="99" spans="1:2">
      <c r="A99" s="77" t="s">
        <v>428</v>
      </c>
      <c r="B99" s="79" t="s">
        <v>686</v>
      </c>
    </row>
    <row r="100" spans="1:2">
      <c r="A100" s="77" t="s">
        <v>431</v>
      </c>
      <c r="B100" s="79" t="s">
        <v>687</v>
      </c>
    </row>
    <row r="101" spans="1:2">
      <c r="A101" s="77" t="s">
        <v>476</v>
      </c>
      <c r="B101" s="79" t="s">
        <v>688</v>
      </c>
    </row>
    <row r="102" spans="1:2">
      <c r="A102" s="77" t="s">
        <v>435</v>
      </c>
      <c r="B102" s="79" t="s">
        <v>689</v>
      </c>
    </row>
    <row r="103" spans="1:2">
      <c r="A103" s="77" t="s">
        <v>581</v>
      </c>
      <c r="B103" s="79" t="s">
        <v>690</v>
      </c>
    </row>
    <row r="104" spans="1:2">
      <c r="A104" s="77" t="s">
        <v>574</v>
      </c>
      <c r="B104" s="79" t="s">
        <v>691</v>
      </c>
    </row>
    <row r="105" spans="1:2">
      <c r="A105" s="77" t="s">
        <v>444</v>
      </c>
      <c r="B105" s="79" t="s">
        <v>692</v>
      </c>
    </row>
    <row r="106" spans="1:2">
      <c r="A106" s="77" t="s">
        <v>391</v>
      </c>
      <c r="B106" s="79" t="s">
        <v>693</v>
      </c>
    </row>
    <row r="107" spans="1:2">
      <c r="A107" s="77" t="s">
        <v>477</v>
      </c>
      <c r="B107" s="79" t="s">
        <v>694</v>
      </c>
    </row>
    <row r="108" spans="1:2">
      <c r="A108" s="77" t="s">
        <v>449</v>
      </c>
      <c r="B108" s="79" t="s">
        <v>695</v>
      </c>
    </row>
    <row r="109" spans="1:2">
      <c r="A109" s="77" t="s">
        <v>420</v>
      </c>
      <c r="B109" s="79" t="s">
        <v>696</v>
      </c>
    </row>
    <row r="110" spans="1:2">
      <c r="A110" s="77" t="s">
        <v>452</v>
      </c>
      <c r="B110" s="79" t="s">
        <v>697</v>
      </c>
    </row>
    <row r="111" spans="1:2">
      <c r="A111" s="77" t="s">
        <v>478</v>
      </c>
      <c r="B111" s="79" t="s">
        <v>698</v>
      </c>
    </row>
    <row r="112" spans="1:2">
      <c r="A112" s="77" t="s">
        <v>457</v>
      </c>
      <c r="B112" s="79" t="s">
        <v>699</v>
      </c>
    </row>
    <row r="113" spans="1:2">
      <c r="A113" s="77" t="s">
        <v>576</v>
      </c>
      <c r="B113" s="79" t="s">
        <v>700</v>
      </c>
    </row>
    <row r="114" spans="1:2">
      <c r="A114" s="77" t="s">
        <v>579</v>
      </c>
      <c r="B114" s="79" t="s">
        <v>701</v>
      </c>
    </row>
    <row r="115" spans="1:2">
      <c r="A115" s="77" t="s">
        <v>586</v>
      </c>
      <c r="B115" s="79" t="s">
        <v>702</v>
      </c>
    </row>
    <row r="116" spans="1:2">
      <c r="A116" s="77" t="s">
        <v>587</v>
      </c>
      <c r="B116" s="79" t="s">
        <v>703</v>
      </c>
    </row>
    <row r="117" spans="1:2">
      <c r="A117" s="77" t="s">
        <v>588</v>
      </c>
      <c r="B117" s="79" t="s">
        <v>704</v>
      </c>
    </row>
    <row r="118" spans="1:2">
      <c r="A118" s="77" t="s">
        <v>589</v>
      </c>
      <c r="B118" s="79" t="s">
        <v>705</v>
      </c>
    </row>
    <row r="119" spans="1:2">
      <c r="B119" s="78"/>
    </row>
    <row r="120" spans="1:2" ht="15">
      <c r="A120" s="323" t="s">
        <v>706</v>
      </c>
      <c r="B120" s="325"/>
    </row>
    <row r="121" spans="1:2">
      <c r="A121" s="77" t="s">
        <v>312</v>
      </c>
      <c r="B121" s="79" t="s">
        <v>707</v>
      </c>
    </row>
    <row r="122" spans="1:2">
      <c r="A122" s="77" t="s">
        <v>330</v>
      </c>
      <c r="B122" s="79" t="s">
        <v>708</v>
      </c>
    </row>
    <row r="123" spans="1:2">
      <c r="A123" s="77" t="s">
        <v>523</v>
      </c>
      <c r="B123" s="79" t="s">
        <v>709</v>
      </c>
    </row>
    <row r="124" spans="1:2">
      <c r="A124" s="77" t="s">
        <v>331</v>
      </c>
      <c r="B124" s="79" t="s">
        <v>710</v>
      </c>
    </row>
    <row r="125" spans="1:2">
      <c r="A125" s="77" t="s">
        <v>332</v>
      </c>
      <c r="B125" s="79" t="s">
        <v>711</v>
      </c>
    </row>
    <row r="126" spans="1:2">
      <c r="A126" s="77" t="s">
        <v>333</v>
      </c>
      <c r="B126" s="79" t="s">
        <v>712</v>
      </c>
    </row>
    <row r="127" spans="1:2">
      <c r="A127" s="77" t="s">
        <v>458</v>
      </c>
      <c r="B127" s="79" t="s">
        <v>713</v>
      </c>
    </row>
    <row r="128" spans="1:2">
      <c r="A128" s="77" t="s">
        <v>461</v>
      </c>
      <c r="B128" s="79" t="s">
        <v>714</v>
      </c>
    </row>
    <row r="129" spans="1:2">
      <c r="A129" s="77" t="s">
        <v>538</v>
      </c>
      <c r="B129" s="79" t="s">
        <v>715</v>
      </c>
    </row>
    <row r="130" spans="1:2">
      <c r="A130" s="77" t="s">
        <v>540</v>
      </c>
      <c r="B130" s="79" t="s">
        <v>716</v>
      </c>
    </row>
    <row r="131" spans="1:2">
      <c r="A131" s="77" t="s">
        <v>717</v>
      </c>
      <c r="B131" s="79" t="s">
        <v>718</v>
      </c>
    </row>
    <row r="132" spans="1:2">
      <c r="A132" s="77" t="s">
        <v>719</v>
      </c>
      <c r="B132" s="79" t="s">
        <v>720</v>
      </c>
    </row>
    <row r="133" spans="1:2">
      <c r="A133" s="77" t="s">
        <v>721</v>
      </c>
      <c r="B133" s="79" t="s">
        <v>722</v>
      </c>
    </row>
    <row r="134" spans="1:2">
      <c r="A134" s="77" t="s">
        <v>723</v>
      </c>
      <c r="B134" s="79" t="s">
        <v>724</v>
      </c>
    </row>
  </sheetData>
  <hyperlinks>
    <hyperlink ref="B5" location="'1'!A1" display="'1'!A1"/>
    <hyperlink ref="B6" location="'1'!A1" display="'1'!A1"/>
    <hyperlink ref="B10" location="'2.1.1'!A1" display="2.1.1"/>
    <hyperlink ref="B11" location="'2.1.1'!A1" display="2.1.2"/>
    <hyperlink ref="B12" location="'2.1.3'!A1" display="2.1.3"/>
    <hyperlink ref="B13" location="'2.1.3'!A1" display="2.1.4"/>
    <hyperlink ref="B15" location="'2.2.1'!A1" display="2.2.1"/>
    <hyperlink ref="B16" location="'2.2.1'!A1" display="2.2.2"/>
    <hyperlink ref="B17" location="'2.2.3'!A1" display="2.2.3"/>
    <hyperlink ref="B18" location="'2.2.3'!A1" display="2.2.4"/>
    <hyperlink ref="B19" location="'2.2.5'!A1" display="2.2.5"/>
    <hyperlink ref="B20" location="'2.2.6'!A1" display="2.2.6"/>
    <hyperlink ref="B21" location="'2.2.7'!A1" display="2.2.7"/>
    <hyperlink ref="B23" location="'2.3.1'!A1" display="2.3.1"/>
    <hyperlink ref="B24" location="'2.3.1'!A1" display="2.3.2"/>
    <hyperlink ref="B25" location="'2.3.3'!A1" display="2.3.3"/>
    <hyperlink ref="B26" location="'2.3.3'!A1" display="2.3.4"/>
    <hyperlink ref="B28" location="'2.4.1'!A1" display="2.4.1"/>
    <hyperlink ref="B29" location="'2.4.1'!A1" display="2.4.2"/>
    <hyperlink ref="B30" location="'2.4.3'!A1" display="2.4.3"/>
    <hyperlink ref="B31" location="'2.4.3'!A1" display="2.4.4"/>
    <hyperlink ref="B33" location="'2.5.1'!A1" display="2.5.1"/>
    <hyperlink ref="B34" location="'2.5.1'!A1" display="2.5.2"/>
    <hyperlink ref="B36" location="'2.6.1'!A1" display="2.6.1"/>
    <hyperlink ref="B38" location="'2.8.1'!A1" display="2.8.1"/>
    <hyperlink ref="B40" location="'2.9.1'!A1" display="2.9.1"/>
    <hyperlink ref="B41" location="'2.9.1'!A1" display="2.9.2"/>
    <hyperlink ref="B42" location="'2.9.3'!A1" display="2.9.3"/>
    <hyperlink ref="B44" location="'2.10.1'!A1" display="2.10.1"/>
    <hyperlink ref="B46" location="'2.11.1'!A1" display="2.11.1"/>
    <hyperlink ref="B47" location="'2.11.1'!A1" display="2.11.2"/>
    <hyperlink ref="B48" location="'2.11.3'!A1" display="2.11.3"/>
    <hyperlink ref="B50" location="'2.13.1'!A1" display="2.13.1"/>
    <hyperlink ref="B51" location="'2.13.1'!A1" display="2.13.2"/>
    <hyperlink ref="B53" location="'2.14.1'!A1" display="2.14.1"/>
    <hyperlink ref="B54" location="'2.14.1'!A1" display="2.14.2"/>
    <hyperlink ref="B58" location="'3.1.1'!A1" display="3.1.1"/>
    <hyperlink ref="B59" location="'3.1.1'!A1" display="3.1.2"/>
    <hyperlink ref="B61" location="'3.2.1'!A1" display="3.2.1"/>
    <hyperlink ref="B62" location="'3.2.1'!A1" display="3.2.2"/>
    <hyperlink ref="B63" location="'3.2.3'!A1" display="3.2.3"/>
    <hyperlink ref="B65" location="'3.3.1'!A1" display="3.3.1"/>
    <hyperlink ref="B66" location="'3.3.1'!A1" display="3.3.2"/>
    <hyperlink ref="B70" location="'4.1'!A1" display="4.1.1"/>
    <hyperlink ref="B71" location="'4.1'!A1" display="4.1.2"/>
    <hyperlink ref="B73" location="'4.2'!A1" display="4.2.1"/>
    <hyperlink ref="B74" location="'4.2'!A1" display="4.2.2"/>
    <hyperlink ref="B76" location="'4.3'!A1" display="4.3.1"/>
    <hyperlink ref="B77" location="'4.3'!A1" display="4.3.2"/>
    <hyperlink ref="B79" location="'4.4'!A1" display="4.4.1"/>
    <hyperlink ref="B80" location="'4.4'!A1" display="4.4.2"/>
    <hyperlink ref="B84" location="'5.1'!A1" display="5.1.1"/>
    <hyperlink ref="B85" location="'5.1'!A1" display="5.1.2"/>
    <hyperlink ref="B87" location="'5.2'!A1" display="5.2.1"/>
    <hyperlink ref="B88" location="'5.2'!A1" display="5.2.2"/>
    <hyperlink ref="B91" location="'6.1.1'!A1" display="6.1.1"/>
    <hyperlink ref="B92" location="'6.1.2'!A1" display="6.1.2"/>
    <hyperlink ref="B93" location="'6.2.1'!A1" display="6.2.1"/>
    <hyperlink ref="B94" location="'6.2.2'!A1" display="6.2.2"/>
    <hyperlink ref="B95" location="'6.2.3'!A1" display="6.2.3"/>
    <hyperlink ref="B96" location="'6.2.4'!A1" display="6.2.4"/>
    <hyperlink ref="B97" location="'6.2.5'!A1" display="6.2.5"/>
    <hyperlink ref="B98" location="'6.2.6'!A1" display="6.2.6"/>
    <hyperlink ref="B99" location="'6.3.1'!A1" display="6.3.1"/>
    <hyperlink ref="B100" location="'6.3.2'!A1" display="6.3.2"/>
    <hyperlink ref="B101" location="'6.3.3'!A1" display="6.3.3"/>
    <hyperlink ref="B102" location="'6.3.4'!A1" display="6.3.4"/>
    <hyperlink ref="B103" location="'6.3.5'!A1" display="6.3.5"/>
    <hyperlink ref="B104" location="'6.3.6'!A1" display="6.3.6"/>
    <hyperlink ref="B105" location="'6.4.1'!A1" display="6.4.1"/>
    <hyperlink ref="B106" location="'6.4.2'!A1" display="6.4.2"/>
    <hyperlink ref="B107" location="'6.4.3'!A1" display="6.4.3"/>
    <hyperlink ref="B108" location="'6.4.4'!A1" display="6.4.4"/>
    <hyperlink ref="B109" location="'6.5.1'!A1" display="6.5.1"/>
    <hyperlink ref="B110" location="'6.5.2'!A1" display="6.5.2"/>
    <hyperlink ref="B111" location="'6.5.3'!A1" display="6.5.3"/>
    <hyperlink ref="B112" location="'6.5.4'!A1" display="6.5.4"/>
    <hyperlink ref="B113" location="'6.6.1'!A1" display="6.6.1"/>
    <hyperlink ref="B114" location="'6.6.2'!A1" display="6.6.2"/>
    <hyperlink ref="B115" location="'6.7.1'!A1" display="6.7.1"/>
    <hyperlink ref="B116" location="'6.7.2'!A1" display="6.7.2"/>
    <hyperlink ref="B117" location="'6.7.3'!A1" display="6.7.3"/>
    <hyperlink ref="B118" location="'6.7.4'!A1" display="6.7.4"/>
    <hyperlink ref="B121" location="'7.1'!A1" display="7.1"/>
    <hyperlink ref="B122" location="'7.2'!A1" display="7.2"/>
    <hyperlink ref="B123" location="'7.3'!A1" display="7.3"/>
    <hyperlink ref="B124" location="'7.4'!A1" display="7.4"/>
    <hyperlink ref="B125" location="'7.5'!A1" display="7.5"/>
    <hyperlink ref="B126" location="'7.6'!A1" display="7.6"/>
    <hyperlink ref="B127" location="'7.10'!A1" display="7.10"/>
    <hyperlink ref="B128" location="'7.11'!A1" display="7.11"/>
    <hyperlink ref="B129" location="'7.12'!A1" display="7.12"/>
    <hyperlink ref="B130" location="'7.13'!A1" display="7.13"/>
    <hyperlink ref="B131" location="'7.15'!A1" display="7.15"/>
    <hyperlink ref="B132" location="'7.16'!A1" display="7.16"/>
    <hyperlink ref="B133" location="'7.17'!A1" display="7.17"/>
    <hyperlink ref="B134" location="'7.18'!A1" display="7.18"/>
  </hyperlinks>
  <pageMargins left="0.7" right="0.7" top="0.78740157499999996" bottom="0.78740157499999996" header="0.3" footer="0.3"/>
  <pageSetup paperSize="9" scale="4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32"/>
  <sheetViews>
    <sheetView zoomScaleNormal="100" workbookViewId="0">
      <selection activeCell="A8" sqref="A8"/>
    </sheetView>
  </sheetViews>
  <sheetFormatPr baseColWidth="10" defaultRowHeight="12.75"/>
  <cols>
    <col min="1" max="1" width="37.7109375" customWidth="1"/>
    <col min="2" max="4" width="15.7109375" customWidth="1"/>
  </cols>
  <sheetData>
    <row r="1" spans="1:4" ht="15">
      <c r="A1" s="360" t="s">
        <v>488</v>
      </c>
      <c r="B1" s="360"/>
      <c r="C1" s="360"/>
      <c r="D1" s="360"/>
    </row>
    <row r="2" spans="1:4">
      <c r="A2" s="5" t="s">
        <v>295</v>
      </c>
      <c r="D2" s="2" t="s">
        <v>98</v>
      </c>
    </row>
    <row r="3" spans="1:4" ht="13.5" thickBot="1">
      <c r="A3" s="20"/>
    </row>
    <row r="4" spans="1:4">
      <c r="A4" s="91" t="s">
        <v>731</v>
      </c>
      <c r="B4" s="377" t="s">
        <v>130</v>
      </c>
      <c r="C4" s="377"/>
      <c r="D4" s="377"/>
    </row>
    <row r="5" spans="1:4">
      <c r="A5" s="320" t="s">
        <v>151</v>
      </c>
      <c r="B5" s="322" t="s">
        <v>101</v>
      </c>
      <c r="C5" s="322" t="s">
        <v>102</v>
      </c>
      <c r="D5" s="322" t="s">
        <v>51</v>
      </c>
    </row>
    <row r="6" spans="1:4">
      <c r="A6" s="17"/>
      <c r="B6" s="17"/>
      <c r="C6" s="17"/>
      <c r="D6" s="17"/>
    </row>
    <row r="7" spans="1:4">
      <c r="A7" s="111" t="s">
        <v>99</v>
      </c>
      <c r="B7" s="109">
        <v>9.7100000000000006E-2</v>
      </c>
      <c r="C7" s="109">
        <v>1.1000000000000001E-3</v>
      </c>
      <c r="D7" s="109">
        <v>0</v>
      </c>
    </row>
    <row r="8" spans="1:4">
      <c r="A8" s="88" t="s">
        <v>547</v>
      </c>
      <c r="B8" s="109">
        <v>0.82640000000000002</v>
      </c>
      <c r="C8" s="109">
        <v>3.4700000000000002E-2</v>
      </c>
      <c r="D8" s="109">
        <v>4.6100000000000002E-2</v>
      </c>
    </row>
    <row r="9" spans="1:4">
      <c r="A9" s="88" t="s">
        <v>548</v>
      </c>
      <c r="B9" s="109">
        <v>4.9200000000000001E-2</v>
      </c>
      <c r="C9" s="109">
        <v>3.32E-2</v>
      </c>
      <c r="D9" s="109">
        <v>3.2399999999999998E-2</v>
      </c>
    </row>
    <row r="10" spans="1:4">
      <c r="A10" s="88" t="s">
        <v>549</v>
      </c>
      <c r="B10" s="109">
        <v>1.9900000000000001E-2</v>
      </c>
      <c r="C10" s="109">
        <v>5.5199999999999999E-2</v>
      </c>
      <c r="D10" s="109">
        <v>5.3499999999999999E-2</v>
      </c>
    </row>
    <row r="11" spans="1:4">
      <c r="A11" s="88" t="s">
        <v>550</v>
      </c>
      <c r="B11" s="109">
        <v>6.0000000000000001E-3</v>
      </c>
      <c r="C11" s="109">
        <v>6.9400000000000003E-2</v>
      </c>
      <c r="D11" s="109">
        <v>7.2599999999999998E-2</v>
      </c>
    </row>
    <row r="12" spans="1:4">
      <c r="A12" s="88" t="s">
        <v>551</v>
      </c>
      <c r="B12" s="109">
        <v>1.4E-3</v>
      </c>
      <c r="C12" s="109">
        <v>0.80640000000000001</v>
      </c>
      <c r="D12" s="109">
        <v>0.79530000000000001</v>
      </c>
    </row>
    <row r="13" spans="1:4">
      <c r="A13" s="17"/>
      <c r="B13" s="176"/>
      <c r="C13" s="176"/>
      <c r="D13" s="176"/>
    </row>
    <row r="14" spans="1:4" ht="13.5" thickBot="1">
      <c r="A14" s="177" t="s">
        <v>100</v>
      </c>
      <c r="B14" s="137">
        <f>SUM(B7:B12)</f>
        <v>1</v>
      </c>
      <c r="C14" s="137">
        <f>SUM(C7:C12)</f>
        <v>1</v>
      </c>
      <c r="D14" s="137">
        <f>SUM(D7:D12)</f>
        <v>0.99990000000000001</v>
      </c>
    </row>
    <row r="15" spans="1:4" ht="13.5" thickBot="1"/>
    <row r="16" spans="1:4">
      <c r="A16" s="91" t="s">
        <v>749</v>
      </c>
      <c r="B16" s="377" t="s">
        <v>130</v>
      </c>
      <c r="C16" s="377"/>
      <c r="D16" s="377"/>
    </row>
    <row r="17" spans="1:5">
      <c r="A17" s="320" t="s">
        <v>151</v>
      </c>
      <c r="B17" s="322" t="s">
        <v>101</v>
      </c>
      <c r="C17" s="322" t="s">
        <v>102</v>
      </c>
      <c r="D17" s="322" t="s">
        <v>51</v>
      </c>
    </row>
    <row r="18" spans="1:5">
      <c r="A18" s="17"/>
      <c r="B18" s="17"/>
      <c r="C18" s="17"/>
      <c r="D18" s="17"/>
    </row>
    <row r="19" spans="1:5">
      <c r="A19" s="111" t="s">
        <v>99</v>
      </c>
      <c r="B19" s="109">
        <v>0.1066</v>
      </c>
      <c r="C19" s="109">
        <v>3.5000000000000001E-3</v>
      </c>
      <c r="D19" s="109">
        <v>0</v>
      </c>
    </row>
    <row r="20" spans="1:5">
      <c r="A20" s="88" t="s">
        <v>547</v>
      </c>
      <c r="B20" s="109">
        <v>0.81159999999999999</v>
      </c>
      <c r="C20" s="109">
        <v>0.1368</v>
      </c>
      <c r="D20" s="109">
        <v>0.1099</v>
      </c>
    </row>
    <row r="21" spans="1:5">
      <c r="A21" s="88" t="s">
        <v>548</v>
      </c>
      <c r="B21" s="109">
        <v>5.3499999999999999E-2</v>
      </c>
      <c r="C21" s="109">
        <v>8.09E-2</v>
      </c>
      <c r="D21" s="109">
        <v>8.2699999999999996E-2</v>
      </c>
    </row>
    <row r="22" spans="1:5">
      <c r="A22" s="88" t="s">
        <v>549</v>
      </c>
      <c r="B22" s="109">
        <v>0.02</v>
      </c>
      <c r="C22" s="109">
        <v>0.1235</v>
      </c>
      <c r="D22" s="109">
        <v>0.1255</v>
      </c>
    </row>
    <row r="23" spans="1:5">
      <c r="A23" s="88" t="s">
        <v>550</v>
      </c>
      <c r="B23" s="109">
        <v>6.7999999999999996E-3</v>
      </c>
      <c r="C23" s="109">
        <v>0.16869999999999999</v>
      </c>
      <c r="D23" s="109">
        <v>0.17760000000000001</v>
      </c>
    </row>
    <row r="24" spans="1:5">
      <c r="A24" s="88" t="s">
        <v>551</v>
      </c>
      <c r="B24" s="109">
        <v>1.6000000000000001E-3</v>
      </c>
      <c r="C24" s="109">
        <v>0.48670000000000002</v>
      </c>
      <c r="D24" s="109">
        <v>0.50429999999999997</v>
      </c>
    </row>
    <row r="25" spans="1:5">
      <c r="A25" s="17"/>
      <c r="B25" s="176"/>
      <c r="C25" s="176"/>
      <c r="D25" s="176"/>
    </row>
    <row r="26" spans="1:5" ht="13.5" thickBot="1">
      <c r="A26" s="177" t="s">
        <v>100</v>
      </c>
      <c r="B26" s="137">
        <f>SUM(B19:B24)</f>
        <v>1.0001</v>
      </c>
      <c r="C26" s="137">
        <f>SUM(C19:C24)</f>
        <v>1.0001</v>
      </c>
      <c r="D26" s="137">
        <f>SUM(D19:D24)</f>
        <v>1</v>
      </c>
    </row>
    <row r="27" spans="1:5">
      <c r="A27" s="13"/>
      <c r="B27" s="16"/>
      <c r="C27" s="16"/>
      <c r="D27" s="16"/>
    </row>
    <row r="28" spans="1:5">
      <c r="A28" s="363" t="s">
        <v>482</v>
      </c>
      <c r="B28" s="363"/>
      <c r="C28" s="363"/>
      <c r="D28" s="363"/>
    </row>
    <row r="29" spans="1:5" ht="51" customHeight="1">
      <c r="A29" s="372" t="s">
        <v>772</v>
      </c>
      <c r="B29" s="373"/>
      <c r="C29" s="373"/>
      <c r="D29" s="373"/>
      <c r="E29" s="30"/>
    </row>
    <row r="30" spans="1:5">
      <c r="A30" s="5"/>
    </row>
    <row r="31" spans="1:5">
      <c r="A31" s="1" t="s">
        <v>184</v>
      </c>
    </row>
    <row r="32" spans="1:5">
      <c r="A32" t="s">
        <v>197</v>
      </c>
    </row>
  </sheetData>
  <mergeCells count="5">
    <mergeCell ref="A1:D1"/>
    <mergeCell ref="A28:D28"/>
    <mergeCell ref="B4:D4"/>
    <mergeCell ref="B16:D16"/>
    <mergeCell ref="A29:D2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8"/>
  <sheetViews>
    <sheetView zoomScaleNormal="100" workbookViewId="0">
      <selection activeCell="F47" sqref="F47"/>
    </sheetView>
  </sheetViews>
  <sheetFormatPr baseColWidth="10" defaultRowHeight="12.75"/>
  <cols>
    <col min="1" max="1" width="37.7109375" customWidth="1"/>
    <col min="2" max="4" width="15.7109375" customWidth="1"/>
  </cols>
  <sheetData>
    <row r="1" spans="1:7" ht="15">
      <c r="A1" s="360" t="s">
        <v>352</v>
      </c>
      <c r="B1" s="360"/>
      <c r="C1" s="360"/>
      <c r="D1" s="360"/>
    </row>
    <row r="2" spans="1:7">
      <c r="A2" s="5" t="s">
        <v>316</v>
      </c>
      <c r="B2" s="23"/>
      <c r="C2" s="23"/>
      <c r="D2" s="2" t="s">
        <v>350</v>
      </c>
    </row>
    <row r="3" spans="1:7" ht="13.5" thickBot="1">
      <c r="A3" s="20"/>
      <c r="B3" s="23"/>
      <c r="C3" s="23"/>
    </row>
    <row r="4" spans="1:7">
      <c r="A4" s="115"/>
      <c r="B4" s="139" t="s">
        <v>730</v>
      </c>
      <c r="C4" s="139" t="s">
        <v>748</v>
      </c>
      <c r="D4" s="140" t="s">
        <v>196</v>
      </c>
    </row>
    <row r="5" spans="1:7">
      <c r="A5" s="17"/>
      <c r="B5" s="129"/>
      <c r="C5" s="129"/>
      <c r="D5" s="122" t="s">
        <v>76</v>
      </c>
    </row>
    <row r="6" spans="1:7">
      <c r="A6" s="17" t="s">
        <v>129</v>
      </c>
      <c r="B6" s="178">
        <f>B8+B11+B17+B30</f>
        <v>518142298.32000005</v>
      </c>
      <c r="C6" s="178">
        <f>C8+C11+C17+C30</f>
        <v>215191358</v>
      </c>
      <c r="D6" s="18">
        <f>C6/B6-1</f>
        <v>-0.58468675748394561</v>
      </c>
      <c r="E6" s="12"/>
      <c r="F6" s="83"/>
      <c r="G6" s="83"/>
    </row>
    <row r="7" spans="1:7">
      <c r="A7" s="17"/>
      <c r="B7" s="178"/>
      <c r="C7" s="178"/>
      <c r="D7" s="122"/>
      <c r="E7" s="12"/>
      <c r="F7" s="83"/>
      <c r="G7" s="83"/>
    </row>
    <row r="8" spans="1:7">
      <c r="A8" s="179" t="s">
        <v>119</v>
      </c>
      <c r="B8" s="178">
        <f>B9</f>
        <v>57357</v>
      </c>
      <c r="C8" s="178">
        <f>C9</f>
        <v>22225</v>
      </c>
      <c r="D8" s="134">
        <f>C8/B8-1</f>
        <v>-0.61251460153076343</v>
      </c>
      <c r="E8" s="12"/>
      <c r="F8" s="83"/>
      <c r="G8" s="83"/>
    </row>
    <row r="9" spans="1:7">
      <c r="A9" s="121" t="s">
        <v>165</v>
      </c>
      <c r="B9" s="180">
        <v>57357</v>
      </c>
      <c r="C9" s="180">
        <v>22225</v>
      </c>
      <c r="D9" s="134">
        <f>C9/B9-1</f>
        <v>-0.61251460153076343</v>
      </c>
      <c r="E9" s="12"/>
      <c r="F9" s="83"/>
      <c r="G9" s="83"/>
    </row>
    <row r="10" spans="1:7">
      <c r="A10" s="17"/>
      <c r="B10" s="178"/>
      <c r="C10" s="178"/>
      <c r="D10" s="111"/>
      <c r="E10" s="12"/>
      <c r="F10" s="83"/>
      <c r="G10" s="83"/>
    </row>
    <row r="11" spans="1:7">
      <c r="A11" s="93" t="s">
        <v>120</v>
      </c>
      <c r="B11" s="180">
        <f>SUM(B12:B15)</f>
        <v>71663506.299999997</v>
      </c>
      <c r="C11" s="180">
        <f>SUM(C12:C15)</f>
        <v>76957468</v>
      </c>
      <c r="D11" s="134">
        <f>C11/B11-1</f>
        <v>7.3872490662656887E-2</v>
      </c>
      <c r="E11" s="12"/>
      <c r="F11" s="83"/>
      <c r="G11" s="83"/>
    </row>
    <row r="12" spans="1:7">
      <c r="A12" s="121" t="s">
        <v>166</v>
      </c>
      <c r="B12" s="180">
        <v>267046</v>
      </c>
      <c r="C12" s="180">
        <v>97374</v>
      </c>
      <c r="D12" s="134">
        <f>C12/B12-1</f>
        <v>-0.63536619159245977</v>
      </c>
      <c r="E12" s="12"/>
      <c r="F12" s="83"/>
      <c r="G12" s="83"/>
    </row>
    <row r="13" spans="1:7">
      <c r="A13" s="171" t="s">
        <v>353</v>
      </c>
      <c r="B13" s="180">
        <v>66659426.299999997</v>
      </c>
      <c r="C13" s="180">
        <v>72794533</v>
      </c>
      <c r="D13" s="18">
        <f>C13/B13-1</f>
        <v>9.2036596180546493E-2</v>
      </c>
      <c r="E13" s="12"/>
      <c r="F13" s="83"/>
      <c r="G13" s="83"/>
    </row>
    <row r="14" spans="1:7">
      <c r="A14" s="17" t="s">
        <v>167</v>
      </c>
      <c r="B14" s="180">
        <v>898079</v>
      </c>
      <c r="C14" s="180">
        <v>746877</v>
      </c>
      <c r="D14" s="18">
        <f>C14/B14-1</f>
        <v>-0.16836158066272566</v>
      </c>
      <c r="E14" s="12"/>
      <c r="F14" s="83"/>
      <c r="G14" s="83"/>
    </row>
    <row r="15" spans="1:7">
      <c r="A15" s="17" t="s">
        <v>168</v>
      </c>
      <c r="B15" s="180">
        <v>3838955</v>
      </c>
      <c r="C15" s="180">
        <v>3318684</v>
      </c>
      <c r="D15" s="18">
        <f>C15/B15-1</f>
        <v>-0.135524120496333</v>
      </c>
      <c r="E15" s="12"/>
      <c r="F15" s="83"/>
      <c r="G15" s="83"/>
    </row>
    <row r="16" spans="1:7">
      <c r="A16" s="17"/>
      <c r="B16" s="180"/>
      <c r="C16" s="180"/>
      <c r="D16" s="18"/>
      <c r="E16" s="12"/>
      <c r="F16" s="83"/>
      <c r="G16" s="83"/>
    </row>
    <row r="17" spans="1:7">
      <c r="A17" s="93" t="s">
        <v>121</v>
      </c>
      <c r="B17" s="180">
        <f>SUM(B18:B28)</f>
        <v>443867412.02000004</v>
      </c>
      <c r="C17" s="180">
        <f>SUM(C18:C28)</f>
        <v>136064552</v>
      </c>
      <c r="D17" s="18">
        <f t="shared" ref="D17:D30" si="0">C17/B17-1</f>
        <v>-0.69345676588244531</v>
      </c>
      <c r="E17" s="12"/>
      <c r="F17" s="83"/>
      <c r="G17" s="83"/>
    </row>
    <row r="18" spans="1:7">
      <c r="A18" s="17" t="s">
        <v>169</v>
      </c>
      <c r="B18" s="180">
        <v>13133435.199999999</v>
      </c>
      <c r="C18" s="180">
        <v>13963953</v>
      </c>
      <c r="D18" s="18">
        <f t="shared" si="0"/>
        <v>6.3236905451819814E-2</v>
      </c>
      <c r="E18" s="89"/>
      <c r="F18" s="83"/>
      <c r="G18" s="83"/>
    </row>
    <row r="19" spans="1:7">
      <c r="A19" s="17" t="s">
        <v>170</v>
      </c>
      <c r="B19" s="180">
        <v>1441552</v>
      </c>
      <c r="C19" s="180">
        <v>1222978</v>
      </c>
      <c r="D19" s="18">
        <f t="shared" si="0"/>
        <v>-0.15162408293283902</v>
      </c>
      <c r="E19" s="12"/>
      <c r="F19" s="83"/>
      <c r="G19" s="83"/>
    </row>
    <row r="20" spans="1:7">
      <c r="A20" s="17" t="s">
        <v>171</v>
      </c>
      <c r="B20" s="180">
        <v>289658</v>
      </c>
      <c r="C20" s="180">
        <v>347781</v>
      </c>
      <c r="D20" s="18">
        <f t="shared" si="0"/>
        <v>0.20066077926382153</v>
      </c>
      <c r="E20" s="12"/>
      <c r="F20" s="83"/>
      <c r="G20" s="83"/>
    </row>
    <row r="21" spans="1:7">
      <c r="A21" s="17" t="s">
        <v>172</v>
      </c>
      <c r="B21" s="180">
        <v>2226490.17</v>
      </c>
      <c r="C21" s="180">
        <v>2859047</v>
      </c>
      <c r="D21" s="18">
        <f t="shared" si="0"/>
        <v>0.28410492825126643</v>
      </c>
      <c r="E21" s="12"/>
      <c r="F21" s="83"/>
      <c r="G21" s="83"/>
    </row>
    <row r="22" spans="1:7">
      <c r="A22" s="17" t="s">
        <v>173</v>
      </c>
      <c r="B22" s="180">
        <v>391119904.51999998</v>
      </c>
      <c r="C22" s="180">
        <v>77265165</v>
      </c>
      <c r="D22" s="18">
        <f t="shared" si="0"/>
        <v>-0.80245146281976287</v>
      </c>
      <c r="E22" s="12"/>
      <c r="F22" s="83"/>
      <c r="G22" s="83"/>
    </row>
    <row r="23" spans="1:7">
      <c r="A23" s="17" t="s">
        <v>177</v>
      </c>
      <c r="B23" s="180">
        <v>1979819.72</v>
      </c>
      <c r="C23" s="180">
        <v>2381717</v>
      </c>
      <c r="D23" s="18">
        <f t="shared" si="0"/>
        <v>0.20299690721334973</v>
      </c>
      <c r="E23" s="12"/>
      <c r="F23" s="83"/>
      <c r="G23" s="83"/>
    </row>
    <row r="24" spans="1:7">
      <c r="A24" s="17" t="s">
        <v>174</v>
      </c>
      <c r="B24" s="180">
        <v>18869257.600000001</v>
      </c>
      <c r="C24" s="180">
        <v>18840379</v>
      </c>
      <c r="D24" s="18">
        <f t="shared" si="0"/>
        <v>-1.5304576688804916E-3</v>
      </c>
      <c r="E24" s="12"/>
      <c r="F24" s="83"/>
      <c r="G24" s="83"/>
    </row>
    <row r="25" spans="1:7">
      <c r="A25" s="17" t="s">
        <v>178</v>
      </c>
      <c r="B25" s="180">
        <v>10178119.99</v>
      </c>
      <c r="C25" s="180">
        <v>13558236</v>
      </c>
      <c r="D25" s="18">
        <f t="shared" si="0"/>
        <v>0.33209630200085694</v>
      </c>
      <c r="E25" s="12"/>
      <c r="F25" s="83"/>
      <c r="G25" s="83"/>
    </row>
    <row r="26" spans="1:7">
      <c r="A26" s="17" t="s">
        <v>175</v>
      </c>
      <c r="B26" s="180">
        <v>88849</v>
      </c>
      <c r="C26" s="180">
        <v>91611</v>
      </c>
      <c r="D26" s="18">
        <f t="shared" si="0"/>
        <v>3.1086450044457425E-2</v>
      </c>
      <c r="E26" s="12"/>
      <c r="F26" s="83"/>
      <c r="G26" s="83"/>
    </row>
    <row r="27" spans="1:7">
      <c r="A27" s="17" t="s">
        <v>176</v>
      </c>
      <c r="B27" s="180">
        <v>1910426</v>
      </c>
      <c r="C27" s="180">
        <v>2434506</v>
      </c>
      <c r="D27" s="18">
        <f t="shared" si="0"/>
        <v>0.27432624974743858</v>
      </c>
      <c r="E27" s="12"/>
      <c r="F27" s="83"/>
      <c r="G27" s="83"/>
    </row>
    <row r="28" spans="1:7">
      <c r="A28" s="17" t="s">
        <v>128</v>
      </c>
      <c r="B28" s="180">
        <v>2629899.8199999998</v>
      </c>
      <c r="C28" s="180">
        <v>3099179</v>
      </c>
      <c r="D28" s="18">
        <f t="shared" si="0"/>
        <v>0.17843994529038754</v>
      </c>
      <c r="E28" s="12"/>
      <c r="F28" s="83"/>
      <c r="G28" s="83"/>
    </row>
    <row r="29" spans="1:7">
      <c r="A29" s="17"/>
      <c r="B29" s="180"/>
      <c r="C29" s="180"/>
      <c r="D29" s="18"/>
      <c r="E29" s="12"/>
      <c r="G29" s="83"/>
    </row>
    <row r="30" spans="1:7" ht="13.5" thickBot="1">
      <c r="A30" s="173" t="s">
        <v>354</v>
      </c>
      <c r="B30" s="181">
        <v>2554023</v>
      </c>
      <c r="C30" s="181">
        <v>2147113</v>
      </c>
      <c r="D30" s="112">
        <f t="shared" si="0"/>
        <v>-0.15932119640269493</v>
      </c>
      <c r="E30" s="12"/>
      <c r="G30" s="83"/>
    </row>
    <row r="31" spans="1:7">
      <c r="B31" s="84"/>
      <c r="C31" s="84"/>
    </row>
    <row r="32" spans="1:7">
      <c r="A32" s="1" t="s">
        <v>184</v>
      </c>
    </row>
    <row r="33" spans="1:4">
      <c r="A33" t="s">
        <v>197</v>
      </c>
    </row>
    <row r="35" spans="1:4">
      <c r="B35" s="3"/>
    </row>
    <row r="38" spans="1:4">
      <c r="D38" t="s">
        <v>76</v>
      </c>
    </row>
  </sheetData>
  <mergeCells count="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40"/>
  <sheetViews>
    <sheetView zoomScaleNormal="100" workbookViewId="0">
      <selection activeCell="A8" sqref="A8"/>
    </sheetView>
  </sheetViews>
  <sheetFormatPr baseColWidth="10" defaultRowHeight="12.75"/>
  <cols>
    <col min="1" max="1" width="37.7109375" style="20" customWidth="1"/>
    <col min="2" max="4" width="15.7109375" style="20" customWidth="1"/>
    <col min="5" max="16384" width="11.42578125" style="20"/>
  </cols>
  <sheetData>
    <row r="1" spans="1:4" ht="15">
      <c r="A1" s="366" t="s">
        <v>489</v>
      </c>
      <c r="B1" s="366"/>
      <c r="C1" s="366"/>
      <c r="D1" s="366"/>
    </row>
    <row r="2" spans="1:4">
      <c r="A2" s="35" t="s">
        <v>296</v>
      </c>
      <c r="D2" s="36" t="s">
        <v>1</v>
      </c>
    </row>
    <row r="3" spans="1:4" ht="13.5" thickBot="1"/>
    <row r="4" spans="1:4">
      <c r="A4" s="142"/>
      <c r="B4" s="143" t="s">
        <v>729</v>
      </c>
      <c r="C4" s="143" t="s">
        <v>747</v>
      </c>
      <c r="D4" s="144" t="s">
        <v>196</v>
      </c>
    </row>
    <row r="5" spans="1:4">
      <c r="A5" s="167"/>
      <c r="B5" s="167"/>
      <c r="C5" s="167"/>
      <c r="D5" s="168"/>
    </row>
    <row r="6" spans="1:4">
      <c r="A6" s="121" t="s">
        <v>517</v>
      </c>
      <c r="B6" s="125">
        <v>29774629</v>
      </c>
      <c r="C6" s="125">
        <v>30392717</v>
      </c>
      <c r="D6" s="159">
        <f>C6/B6-1</f>
        <v>2.0758881663983209E-2</v>
      </c>
    </row>
    <row r="7" spans="1:4">
      <c r="A7" s="121" t="s">
        <v>529</v>
      </c>
      <c r="B7" s="125">
        <v>1482530</v>
      </c>
      <c r="C7" s="125">
        <v>-1224692</v>
      </c>
      <c r="D7" s="164" t="s">
        <v>116</v>
      </c>
    </row>
    <row r="8" spans="1:4">
      <c r="A8" s="127" t="s">
        <v>129</v>
      </c>
      <c r="B8" s="125">
        <f>B6-B7</f>
        <v>28292099</v>
      </c>
      <c r="C8" s="125">
        <f>C6-C7</f>
        <v>31617409</v>
      </c>
      <c r="D8" s="159">
        <f>C8/B8-1</f>
        <v>0.11753493439988305</v>
      </c>
    </row>
    <row r="9" spans="1:4">
      <c r="A9" s="127"/>
      <c r="B9" s="125"/>
      <c r="C9" s="125"/>
      <c r="D9" s="145"/>
    </row>
    <row r="10" spans="1:4">
      <c r="A10" s="127" t="s">
        <v>187</v>
      </c>
      <c r="B10" s="125">
        <v>1136</v>
      </c>
      <c r="C10" s="125">
        <v>1811</v>
      </c>
      <c r="D10" s="159">
        <f>C10/B10-1</f>
        <v>0.59419014084507049</v>
      </c>
    </row>
    <row r="11" spans="1:4">
      <c r="A11" s="127"/>
      <c r="B11" s="125"/>
      <c r="C11" s="125"/>
      <c r="D11" s="145"/>
    </row>
    <row r="12" spans="1:4">
      <c r="A12" s="127" t="s">
        <v>195</v>
      </c>
      <c r="B12" s="125">
        <f>B8/B$10</f>
        <v>24905.016725352114</v>
      </c>
      <c r="C12" s="125">
        <f>C8/C$10</f>
        <v>17458.536167863058</v>
      </c>
      <c r="D12" s="159">
        <f>C12/B12-1</f>
        <v>-0.29899520404292268</v>
      </c>
    </row>
    <row r="13" spans="1:4">
      <c r="A13" s="127"/>
      <c r="B13" s="125"/>
      <c r="C13" s="125"/>
      <c r="D13" s="145"/>
    </row>
    <row r="14" spans="1:4">
      <c r="A14" s="127" t="s">
        <v>85</v>
      </c>
      <c r="B14" s="125">
        <v>483</v>
      </c>
      <c r="C14" s="125">
        <v>828</v>
      </c>
      <c r="D14" s="159">
        <f>C14/B14-1</f>
        <v>0.71428571428571419</v>
      </c>
    </row>
    <row r="15" spans="1:4" ht="13.5" thickBot="1">
      <c r="A15" s="150" t="s">
        <v>84</v>
      </c>
      <c r="B15" s="163">
        <v>653</v>
      </c>
      <c r="C15" s="163">
        <v>983</v>
      </c>
      <c r="D15" s="114">
        <f>C15/B15-1</f>
        <v>0.50535987748851463</v>
      </c>
    </row>
    <row r="16" spans="1:4">
      <c r="A16" s="127"/>
      <c r="B16" s="127"/>
      <c r="C16" s="127"/>
      <c r="D16" s="145"/>
    </row>
    <row r="17" spans="1:4">
      <c r="A17" s="127"/>
      <c r="B17" s="127"/>
      <c r="C17" s="127"/>
      <c r="D17" s="145"/>
    </row>
    <row r="18" spans="1:4">
      <c r="A18" s="127"/>
      <c r="B18" s="127"/>
      <c r="C18" s="127"/>
      <c r="D18" s="145"/>
    </row>
    <row r="19" spans="1:4">
      <c r="A19" s="127"/>
      <c r="B19" s="127"/>
      <c r="C19" s="127"/>
      <c r="D19" s="145"/>
    </row>
    <row r="20" spans="1:4" ht="15">
      <c r="A20" s="378" t="s">
        <v>490</v>
      </c>
      <c r="B20" s="378"/>
      <c r="C20" s="378"/>
      <c r="D20" s="378"/>
    </row>
    <row r="21" spans="1:4">
      <c r="A21" s="123" t="s">
        <v>296</v>
      </c>
      <c r="B21" s="127"/>
      <c r="C21" s="127"/>
      <c r="D21" s="170" t="s">
        <v>2</v>
      </c>
    </row>
    <row r="22" spans="1:4" ht="13.5" thickBot="1">
      <c r="A22" s="127"/>
      <c r="B22" s="127"/>
      <c r="C22" s="127"/>
      <c r="D22" s="145"/>
    </row>
    <row r="23" spans="1:4">
      <c r="A23" s="153"/>
      <c r="B23" s="157" t="s">
        <v>729</v>
      </c>
      <c r="C23" s="157" t="s">
        <v>747</v>
      </c>
      <c r="D23" s="155" t="s">
        <v>209</v>
      </c>
    </row>
    <row r="24" spans="1:4">
      <c r="A24" s="127"/>
      <c r="B24" s="127"/>
      <c r="C24" s="127"/>
      <c r="D24" s="146"/>
    </row>
    <row r="25" spans="1:4">
      <c r="A25" s="127" t="s">
        <v>129</v>
      </c>
      <c r="B25" s="125">
        <f>SUM(B27:B38)</f>
        <v>28292099.300000001</v>
      </c>
      <c r="C25" s="125">
        <f>SUM(C27:C38)</f>
        <v>31617408.779999994</v>
      </c>
      <c r="D25" s="159">
        <f>SUM(D27:D37)</f>
        <v>1.0000000000000002</v>
      </c>
    </row>
    <row r="26" spans="1:4">
      <c r="A26" s="127"/>
      <c r="B26" s="125"/>
      <c r="C26" s="125"/>
      <c r="D26" s="146"/>
    </row>
    <row r="27" spans="1:4">
      <c r="A27" s="127" t="s">
        <v>198</v>
      </c>
      <c r="B27" s="125">
        <v>3482630.25</v>
      </c>
      <c r="C27" s="125">
        <v>5568016.3799999999</v>
      </c>
      <c r="D27" s="159">
        <f t="shared" ref="D27:D37" si="0">C27/C$25</f>
        <v>0.17610603129254923</v>
      </c>
    </row>
    <row r="28" spans="1:4">
      <c r="A28" s="127" t="s">
        <v>199</v>
      </c>
      <c r="B28" s="125">
        <v>1982479.05</v>
      </c>
      <c r="C28" s="125">
        <v>4610647.95</v>
      </c>
      <c r="D28" s="159">
        <f t="shared" si="0"/>
        <v>0.1458262434496696</v>
      </c>
    </row>
    <row r="29" spans="1:4">
      <c r="A29" s="127" t="s">
        <v>200</v>
      </c>
      <c r="B29" s="125">
        <v>559405.65</v>
      </c>
      <c r="C29" s="125">
        <v>1710939.45</v>
      </c>
      <c r="D29" s="159">
        <f t="shared" si="0"/>
        <v>5.4113841583446808E-2</v>
      </c>
    </row>
    <row r="30" spans="1:4">
      <c r="A30" s="127" t="s">
        <v>201</v>
      </c>
      <c r="B30" s="125">
        <v>11673976.699999999</v>
      </c>
      <c r="C30" s="125">
        <v>5563494.9000000004</v>
      </c>
      <c r="D30" s="159">
        <f t="shared" si="0"/>
        <v>0.17596302526598137</v>
      </c>
    </row>
    <row r="31" spans="1:4">
      <c r="A31" s="127" t="s">
        <v>202</v>
      </c>
      <c r="B31" s="125">
        <v>5054662.05</v>
      </c>
      <c r="C31" s="125">
        <v>6767587.6500000004</v>
      </c>
      <c r="D31" s="159">
        <f t="shared" si="0"/>
        <v>0.21404624575942247</v>
      </c>
    </row>
    <row r="32" spans="1:4">
      <c r="A32" s="127" t="s">
        <v>203</v>
      </c>
      <c r="B32" s="125">
        <v>1109.8499999999999</v>
      </c>
      <c r="C32" s="125">
        <v>410005.65</v>
      </c>
      <c r="D32" s="159">
        <f t="shared" si="0"/>
        <v>1.2967718286242182E-2</v>
      </c>
    </row>
    <row r="33" spans="1:4">
      <c r="A33" s="127" t="s">
        <v>204</v>
      </c>
      <c r="B33" s="125">
        <v>1561170.75</v>
      </c>
      <c r="C33" s="125">
        <v>2692646.75</v>
      </c>
      <c r="D33" s="159">
        <f t="shared" si="0"/>
        <v>8.5163422743968473E-2</v>
      </c>
    </row>
    <row r="34" spans="1:4">
      <c r="A34" s="127" t="s">
        <v>205</v>
      </c>
      <c r="B34" s="125">
        <v>1580390.7</v>
      </c>
      <c r="C34" s="125">
        <v>1927093.35</v>
      </c>
      <c r="D34" s="159">
        <f t="shared" si="0"/>
        <v>6.0950388547305882E-2</v>
      </c>
    </row>
    <row r="35" spans="1:4">
      <c r="A35" s="127" t="s">
        <v>206</v>
      </c>
      <c r="B35" s="125">
        <v>1045197</v>
      </c>
      <c r="C35" s="125">
        <v>679888.15</v>
      </c>
      <c r="D35" s="159">
        <f t="shared" si="0"/>
        <v>2.1503601219530433E-2</v>
      </c>
    </row>
    <row r="36" spans="1:4">
      <c r="A36" s="127" t="s">
        <v>207</v>
      </c>
      <c r="B36" s="125">
        <v>550843.94999999995</v>
      </c>
      <c r="C36" s="125">
        <v>789102.15</v>
      </c>
      <c r="D36" s="159">
        <f t="shared" si="0"/>
        <v>2.4957837484112771E-2</v>
      </c>
    </row>
    <row r="37" spans="1:4" ht="13.5" thickBot="1">
      <c r="A37" s="150" t="s">
        <v>208</v>
      </c>
      <c r="B37" s="163">
        <v>800233.35</v>
      </c>
      <c r="C37" s="163">
        <v>897986.4</v>
      </c>
      <c r="D37" s="114">
        <f t="shared" si="0"/>
        <v>2.8401644367770994E-2</v>
      </c>
    </row>
    <row r="38" spans="1:4">
      <c r="A38" s="27"/>
      <c r="B38" s="27"/>
      <c r="C38" s="27"/>
      <c r="D38" s="54"/>
    </row>
    <row r="39" spans="1:4">
      <c r="A39" s="38" t="s">
        <v>184</v>
      </c>
    </row>
    <row r="40" spans="1:4">
      <c r="A40" s="379" t="s">
        <v>197</v>
      </c>
      <c r="B40" s="379"/>
      <c r="C40" s="379"/>
      <c r="D40" s="379"/>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mergeCells count="3">
    <mergeCell ref="A1:D1"/>
    <mergeCell ref="A20:D20"/>
    <mergeCell ref="A40:D40"/>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1"/>
  <sheetViews>
    <sheetView zoomScaleNormal="100" workbookViewId="0">
      <selection activeCell="A8" sqref="A8"/>
    </sheetView>
  </sheetViews>
  <sheetFormatPr baseColWidth="10" defaultRowHeight="12.75"/>
  <cols>
    <col min="1" max="1" width="37.7109375" customWidth="1"/>
    <col min="2" max="4" width="15.7109375" customWidth="1"/>
  </cols>
  <sheetData>
    <row r="1" spans="1:4" ht="15">
      <c r="A1" s="360" t="s">
        <v>491</v>
      </c>
      <c r="B1" s="360"/>
      <c r="C1" s="360"/>
      <c r="D1" s="360"/>
    </row>
    <row r="2" spans="1:4">
      <c r="A2" s="5" t="s">
        <v>296</v>
      </c>
      <c r="D2" s="2" t="s">
        <v>3</v>
      </c>
    </row>
    <row r="3" spans="1:4" ht="13.5" thickBot="1">
      <c r="A3" s="20"/>
    </row>
    <row r="4" spans="1:4">
      <c r="A4" s="108"/>
      <c r="B4" s="92" t="s">
        <v>729</v>
      </c>
      <c r="C4" s="92" t="s">
        <v>747</v>
      </c>
      <c r="D4" s="120" t="s">
        <v>196</v>
      </c>
    </row>
    <row r="5" spans="1:4">
      <c r="A5" s="182"/>
      <c r="B5" s="182"/>
      <c r="C5" s="182"/>
      <c r="D5" s="183"/>
    </row>
    <row r="6" spans="1:4" ht="13.5" thickBot="1">
      <c r="A6" s="135" t="s">
        <v>160</v>
      </c>
      <c r="B6" s="136">
        <v>143068979</v>
      </c>
      <c r="C6" s="136">
        <v>165893100.05000001</v>
      </c>
      <c r="D6" s="112">
        <f>C6/B6-1</f>
        <v>0.15953228442344591</v>
      </c>
    </row>
    <row r="7" spans="1:4">
      <c r="A7" s="129"/>
      <c r="B7" s="129"/>
      <c r="C7" s="129"/>
      <c r="D7" s="17"/>
    </row>
    <row r="8" spans="1:4">
      <c r="A8" s="129"/>
      <c r="B8" s="129"/>
      <c r="C8" s="129"/>
      <c r="D8" s="17"/>
    </row>
    <row r="9" spans="1:4">
      <c r="A9" s="129"/>
      <c r="B9" s="129"/>
      <c r="C9" s="129"/>
      <c r="D9" s="17"/>
    </row>
    <row r="10" spans="1:4">
      <c r="A10" s="129"/>
      <c r="B10" s="129"/>
      <c r="C10" s="129"/>
      <c r="D10" s="17"/>
    </row>
    <row r="11" spans="1:4" ht="15">
      <c r="A11" s="380" t="s">
        <v>513</v>
      </c>
      <c r="B11" s="380"/>
      <c r="C11" s="380"/>
      <c r="D11" s="380"/>
    </row>
    <row r="12" spans="1:4">
      <c r="A12" s="130" t="s">
        <v>296</v>
      </c>
      <c r="B12" s="129"/>
      <c r="C12" s="129"/>
      <c r="D12" s="94" t="s">
        <v>80</v>
      </c>
    </row>
    <row r="13" spans="1:4" ht="13.5" thickBot="1">
      <c r="A13" s="129"/>
      <c r="B13" s="129"/>
      <c r="C13" s="129"/>
      <c r="D13" s="17"/>
    </row>
    <row r="14" spans="1:4">
      <c r="A14" s="138"/>
      <c r="B14" s="116" t="s">
        <v>729</v>
      </c>
      <c r="C14" s="116" t="s">
        <v>747</v>
      </c>
      <c r="D14" s="140" t="s">
        <v>209</v>
      </c>
    </row>
    <row r="15" spans="1:4">
      <c r="A15" s="129"/>
      <c r="B15" s="129"/>
      <c r="C15" s="129"/>
      <c r="D15" s="122"/>
    </row>
    <row r="16" spans="1:4">
      <c r="A16" s="129" t="s">
        <v>118</v>
      </c>
      <c r="B16" s="59">
        <f>SUM(B18:B29)</f>
        <v>143068979</v>
      </c>
      <c r="C16" s="59">
        <f>SUM(C18:C29)</f>
        <v>165893100.05000001</v>
      </c>
      <c r="D16" s="18">
        <f>SUM(D18:D28)</f>
        <v>0.99999999999999989</v>
      </c>
    </row>
    <row r="17" spans="1:4">
      <c r="A17" s="129"/>
      <c r="B17" s="59"/>
      <c r="C17" s="59"/>
      <c r="D17" s="122"/>
    </row>
    <row r="18" spans="1:4">
      <c r="A18" s="129" t="s">
        <v>198</v>
      </c>
      <c r="B18" s="59">
        <v>18474951</v>
      </c>
      <c r="C18" s="59">
        <v>31565399</v>
      </c>
      <c r="D18" s="18">
        <f t="shared" ref="D18:D28" si="0">C18/C$16</f>
        <v>0.19027553882883749</v>
      </c>
    </row>
    <row r="19" spans="1:4">
      <c r="A19" s="129" t="s">
        <v>199</v>
      </c>
      <c r="B19" s="59">
        <v>11657407</v>
      </c>
      <c r="C19" s="59">
        <v>23187124.550000001</v>
      </c>
      <c r="D19" s="18">
        <f t="shared" si="0"/>
        <v>0.13977148261748937</v>
      </c>
    </row>
    <row r="20" spans="1:4">
      <c r="A20" s="129" t="s">
        <v>200</v>
      </c>
      <c r="B20" s="59">
        <v>3508665</v>
      </c>
      <c r="C20" s="59">
        <v>9628710.3499999996</v>
      </c>
      <c r="D20" s="18">
        <f t="shared" si="0"/>
        <v>5.8041656627659116E-2</v>
      </c>
    </row>
    <row r="21" spans="1:4">
      <c r="A21" s="129" t="s">
        <v>201</v>
      </c>
      <c r="B21" s="59">
        <v>54124542</v>
      </c>
      <c r="C21" s="59">
        <v>28279491.75</v>
      </c>
      <c r="D21" s="18">
        <f t="shared" si="0"/>
        <v>0.17046816137305645</v>
      </c>
    </row>
    <row r="22" spans="1:4">
      <c r="A22" s="129" t="s">
        <v>202</v>
      </c>
      <c r="B22" s="59">
        <v>25442930</v>
      </c>
      <c r="C22" s="59">
        <v>31521411.600000001</v>
      </c>
      <c r="D22" s="18">
        <f t="shared" si="0"/>
        <v>0.1900103837380788</v>
      </c>
    </row>
    <row r="23" spans="1:4">
      <c r="A23" s="129" t="s">
        <v>203</v>
      </c>
      <c r="B23" s="59">
        <v>67333</v>
      </c>
      <c r="C23" s="59">
        <v>2033170.95</v>
      </c>
      <c r="D23" s="18">
        <f t="shared" si="0"/>
        <v>1.2255910278288876E-2</v>
      </c>
    </row>
    <row r="24" spans="1:4">
      <c r="A24" s="129" t="s">
        <v>204</v>
      </c>
      <c r="B24" s="59">
        <v>8460306</v>
      </c>
      <c r="C24" s="59">
        <v>14695267.1</v>
      </c>
      <c r="D24" s="18">
        <f t="shared" si="0"/>
        <v>8.8582750551836453E-2</v>
      </c>
    </row>
    <row r="25" spans="1:4">
      <c r="A25" s="129" t="s">
        <v>205</v>
      </c>
      <c r="B25" s="59">
        <v>8138231</v>
      </c>
      <c r="C25" s="59">
        <v>11084494.75</v>
      </c>
      <c r="D25" s="18">
        <f t="shared" si="0"/>
        <v>6.6817093336969072E-2</v>
      </c>
    </row>
    <row r="26" spans="1:4">
      <c r="A26" s="129" t="s">
        <v>206</v>
      </c>
      <c r="B26" s="59">
        <v>5643787</v>
      </c>
      <c r="C26" s="59">
        <v>3829683.35</v>
      </c>
      <c r="D26" s="18">
        <f t="shared" si="0"/>
        <v>2.3085247962969752E-2</v>
      </c>
    </row>
    <row r="27" spans="1:4">
      <c r="A27" s="129" t="s">
        <v>207</v>
      </c>
      <c r="B27" s="59">
        <v>2582489</v>
      </c>
      <c r="C27" s="59">
        <v>4486573.75</v>
      </c>
      <c r="D27" s="18">
        <f t="shared" si="0"/>
        <v>2.7044969011054416E-2</v>
      </c>
    </row>
    <row r="28" spans="1:4" ht="13.5" thickBot="1">
      <c r="A28" s="135" t="s">
        <v>208</v>
      </c>
      <c r="B28" s="136">
        <v>4968338</v>
      </c>
      <c r="C28" s="136">
        <v>5581772.9000000004</v>
      </c>
      <c r="D28" s="112">
        <f t="shared" si="0"/>
        <v>3.3646805673760147E-2</v>
      </c>
    </row>
    <row r="29" spans="1:4">
      <c r="B29" s="3"/>
      <c r="C29" s="3"/>
      <c r="D29" s="12"/>
    </row>
    <row r="30" spans="1:4">
      <c r="A30" s="1" t="s">
        <v>184</v>
      </c>
    </row>
    <row r="31" spans="1:4">
      <c r="A31" t="s">
        <v>197</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mergeCells count="2">
    <mergeCell ref="A1:D1"/>
    <mergeCell ref="A11:D1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29"/>
  <sheetViews>
    <sheetView zoomScaleNormal="100" workbookViewId="0">
      <selection activeCell="A8" sqref="A8"/>
    </sheetView>
  </sheetViews>
  <sheetFormatPr baseColWidth="10" defaultRowHeight="12.75"/>
  <cols>
    <col min="1" max="1" width="37.7109375" style="20" customWidth="1"/>
    <col min="2" max="4" width="15.7109375" style="20" customWidth="1"/>
    <col min="5" max="16384" width="11.42578125" style="20"/>
  </cols>
  <sheetData>
    <row r="1" spans="1:12" ht="15">
      <c r="A1" s="366" t="s">
        <v>492</v>
      </c>
      <c r="B1" s="366"/>
      <c r="C1" s="366"/>
      <c r="D1" s="366"/>
    </row>
    <row r="2" spans="1:12">
      <c r="A2" s="35" t="s">
        <v>296</v>
      </c>
      <c r="D2" s="36" t="s">
        <v>6</v>
      </c>
    </row>
    <row r="3" spans="1:12" ht="13.5" thickBot="1"/>
    <row r="4" spans="1:12">
      <c r="A4" s="142"/>
      <c r="B4" s="143" t="s">
        <v>729</v>
      </c>
      <c r="C4" s="143" t="s">
        <v>747</v>
      </c>
      <c r="D4" s="144" t="s">
        <v>196</v>
      </c>
    </row>
    <row r="5" spans="1:12">
      <c r="A5" s="167"/>
      <c r="B5" s="189"/>
      <c r="C5" s="189"/>
      <c r="D5" s="190"/>
    </row>
    <row r="6" spans="1:12">
      <c r="A6" s="127" t="s">
        <v>129</v>
      </c>
      <c r="B6" s="125">
        <v>33854016</v>
      </c>
      <c r="C6" s="125">
        <v>35968080.75</v>
      </c>
      <c r="D6" s="159">
        <f>C6/B6-1</f>
        <v>6.2446498223430957E-2</v>
      </c>
      <c r="E6" s="33"/>
    </row>
    <row r="7" spans="1:12">
      <c r="A7" s="127"/>
      <c r="B7" s="125"/>
      <c r="C7" s="125"/>
      <c r="D7" s="159"/>
    </row>
    <row r="8" spans="1:12">
      <c r="A8" s="123" t="s">
        <v>236</v>
      </c>
      <c r="B8" s="125">
        <v>24739453</v>
      </c>
      <c r="C8" s="125">
        <v>25101967</v>
      </c>
      <c r="D8" s="159">
        <f>C8/B8-1</f>
        <v>1.4653274670220151E-2</v>
      </c>
      <c r="E8" s="54"/>
    </row>
    <row r="9" spans="1:12">
      <c r="A9" s="123" t="s">
        <v>237</v>
      </c>
      <c r="B9" s="124">
        <v>3552062</v>
      </c>
      <c r="C9" s="124">
        <v>4711270</v>
      </c>
      <c r="D9" s="159">
        <f>C9/B9-1</f>
        <v>0.32634790721558349</v>
      </c>
      <c r="E9" s="54"/>
    </row>
    <row r="10" spans="1:12">
      <c r="A10" s="123" t="s">
        <v>338</v>
      </c>
      <c r="B10" s="125">
        <v>2834622</v>
      </c>
      <c r="C10" s="125">
        <v>3096445</v>
      </c>
      <c r="D10" s="159">
        <f>C10/B10-1</f>
        <v>9.2366107368107686E-2</v>
      </c>
      <c r="E10" s="54"/>
    </row>
    <row r="11" spans="1:12">
      <c r="A11" s="123" t="s">
        <v>336</v>
      </c>
      <c r="B11" s="125">
        <v>1924905</v>
      </c>
      <c r="C11" s="125">
        <v>2223554</v>
      </c>
      <c r="D11" s="159">
        <f>C11/B11-1</f>
        <v>0.15514999441530875</v>
      </c>
      <c r="E11" s="54"/>
    </row>
    <row r="12" spans="1:12" ht="13.5" thickBot="1">
      <c r="A12" s="185" t="s">
        <v>337</v>
      </c>
      <c r="B12" s="163">
        <v>802974</v>
      </c>
      <c r="C12" s="163">
        <v>834845</v>
      </c>
      <c r="D12" s="114">
        <f>C12/B12-1</f>
        <v>3.9691197971540859E-2</v>
      </c>
      <c r="E12" s="54"/>
      <c r="L12" s="347"/>
    </row>
    <row r="13" spans="1:12">
      <c r="A13" s="127"/>
      <c r="B13" s="127"/>
      <c r="C13" s="127"/>
      <c r="D13" s="159"/>
      <c r="L13" s="347"/>
    </row>
    <row r="14" spans="1:12">
      <c r="A14" s="127"/>
      <c r="B14" s="127"/>
      <c r="C14" s="127"/>
      <c r="D14" s="159"/>
    </row>
    <row r="15" spans="1:12">
      <c r="A15" s="127"/>
      <c r="B15" s="127"/>
      <c r="C15" s="127"/>
      <c r="D15" s="159"/>
    </row>
    <row r="16" spans="1:12">
      <c r="A16" s="127"/>
      <c r="B16" s="191"/>
      <c r="C16" s="191"/>
      <c r="D16" s="164"/>
    </row>
    <row r="17" spans="1:4" ht="15">
      <c r="A17" s="378" t="s">
        <v>514</v>
      </c>
      <c r="B17" s="378"/>
      <c r="C17" s="378"/>
      <c r="D17" s="378"/>
    </row>
    <row r="18" spans="1:4">
      <c r="A18" s="123" t="s">
        <v>296</v>
      </c>
      <c r="B18" s="127"/>
      <c r="C18" s="127"/>
      <c r="D18" s="170" t="s">
        <v>7</v>
      </c>
    </row>
    <row r="19" spans="1:4" ht="13.5" thickBot="1">
      <c r="A19" s="127"/>
      <c r="B19" s="127"/>
      <c r="C19" s="127"/>
      <c r="D19" s="145"/>
    </row>
    <row r="20" spans="1:4">
      <c r="A20" s="153"/>
      <c r="B20" s="154" t="s">
        <v>729</v>
      </c>
      <c r="C20" s="154" t="s">
        <v>747</v>
      </c>
      <c r="D20" s="155" t="s">
        <v>196</v>
      </c>
    </row>
    <row r="21" spans="1:4">
      <c r="A21" s="127"/>
      <c r="B21" s="127"/>
      <c r="C21" s="127"/>
      <c r="D21" s="146"/>
    </row>
    <row r="22" spans="1:4">
      <c r="A22" s="123" t="s">
        <v>280</v>
      </c>
      <c r="B22" s="161" t="s">
        <v>110</v>
      </c>
      <c r="C22" s="161" t="s">
        <v>110</v>
      </c>
      <c r="D22" s="164" t="s">
        <v>116</v>
      </c>
    </row>
    <row r="23" spans="1:4">
      <c r="A23" s="123" t="s">
        <v>238</v>
      </c>
      <c r="B23" s="161" t="s">
        <v>110</v>
      </c>
      <c r="C23" s="161" t="s">
        <v>110</v>
      </c>
      <c r="D23" s="186" t="s">
        <v>116</v>
      </c>
    </row>
    <row r="24" spans="1:4">
      <c r="A24" s="123" t="s">
        <v>241</v>
      </c>
      <c r="B24" s="187">
        <v>23583307.41</v>
      </c>
      <c r="C24" s="187">
        <v>25799283.859999999</v>
      </c>
      <c r="D24" s="159">
        <f>C24/B24-1</f>
        <v>9.3963769011481402E-2</v>
      </c>
    </row>
    <row r="25" spans="1:4">
      <c r="A25" s="123" t="s">
        <v>334</v>
      </c>
      <c r="B25" s="187">
        <v>12313330.85</v>
      </c>
      <c r="C25" s="187">
        <v>14779637.1</v>
      </c>
      <c r="D25" s="159">
        <f>C25/B25-1</f>
        <v>0.20029562106665888</v>
      </c>
    </row>
    <row r="26" spans="1:4" ht="13.5" thickBot="1">
      <c r="A26" s="185" t="s">
        <v>335</v>
      </c>
      <c r="B26" s="188">
        <v>22568050</v>
      </c>
      <c r="C26" s="188">
        <v>23226375</v>
      </c>
      <c r="D26" s="114">
        <f>C26/B26-1</f>
        <v>2.91706638367073E-2</v>
      </c>
    </row>
    <row r="27" spans="1:4">
      <c r="B27" s="57"/>
      <c r="C27" s="57"/>
      <c r="D27" s="55"/>
    </row>
    <row r="28" spans="1:4">
      <c r="A28" s="38" t="s">
        <v>184</v>
      </c>
    </row>
    <row r="29" spans="1:4">
      <c r="A29" s="381" t="s">
        <v>197</v>
      </c>
      <c r="B29" s="379"/>
      <c r="C29" s="379"/>
      <c r="D29" s="379"/>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3">
    <mergeCell ref="A1:D1"/>
    <mergeCell ref="A17:D17"/>
    <mergeCell ref="A29:D29"/>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11"/>
  <sheetViews>
    <sheetView zoomScaleNormal="100" workbookViewId="0">
      <selection sqref="A1:D1"/>
    </sheetView>
  </sheetViews>
  <sheetFormatPr baseColWidth="10" defaultRowHeight="12.75"/>
  <cols>
    <col min="1" max="1" width="37.7109375" customWidth="1"/>
    <col min="2" max="4" width="15.7109375" customWidth="1"/>
    <col min="5" max="5" width="11.7109375" customWidth="1"/>
  </cols>
  <sheetData>
    <row r="1" spans="1:6" ht="15">
      <c r="A1" s="360" t="s">
        <v>493</v>
      </c>
      <c r="B1" s="360"/>
      <c r="C1" s="360"/>
      <c r="D1" s="360"/>
    </row>
    <row r="2" spans="1:6">
      <c r="A2" s="5" t="s">
        <v>296</v>
      </c>
      <c r="D2" s="2" t="s">
        <v>8</v>
      </c>
    </row>
    <row r="3" spans="1:6" ht="13.5" thickBot="1">
      <c r="A3" s="20"/>
    </row>
    <row r="4" spans="1:6">
      <c r="A4" s="115"/>
      <c r="B4" s="116" t="s">
        <v>729</v>
      </c>
      <c r="C4" s="116" t="s">
        <v>747</v>
      </c>
      <c r="D4" s="140" t="s">
        <v>196</v>
      </c>
    </row>
    <row r="5" spans="1:6">
      <c r="A5" s="17"/>
      <c r="B5" s="94"/>
      <c r="C5" s="94"/>
      <c r="D5" s="158"/>
    </row>
    <row r="6" spans="1:6">
      <c r="A6" s="121" t="s">
        <v>517</v>
      </c>
      <c r="B6" s="180">
        <v>34888</v>
      </c>
      <c r="C6" s="180">
        <v>18923</v>
      </c>
      <c r="D6" s="18">
        <f>C6/B6-1</f>
        <v>-0.45760720018344414</v>
      </c>
      <c r="F6" s="3"/>
    </row>
    <row r="7" spans="1:6">
      <c r="A7" s="121" t="s">
        <v>529</v>
      </c>
      <c r="B7" s="180">
        <v>5972</v>
      </c>
      <c r="C7" s="180">
        <v>0</v>
      </c>
      <c r="D7" s="18">
        <f>C7/B7-1</f>
        <v>-1</v>
      </c>
    </row>
    <row r="8" spans="1:6" ht="13.5" thickBot="1">
      <c r="A8" s="104" t="s">
        <v>129</v>
      </c>
      <c r="B8" s="181">
        <f>B6-B7</f>
        <v>28916</v>
      </c>
      <c r="C8" s="181">
        <v>18923</v>
      </c>
      <c r="D8" s="112">
        <f>C8/B8-1</f>
        <v>-0.34558721814912163</v>
      </c>
    </row>
    <row r="10" spans="1:6">
      <c r="A10" s="1" t="s">
        <v>184</v>
      </c>
      <c r="B10" s="3"/>
    </row>
    <row r="11" spans="1:6">
      <c r="A11" t="s">
        <v>197</v>
      </c>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1">
    <mergeCell ref="A1:D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2"/>
  <sheetViews>
    <sheetView zoomScaleNormal="100" workbookViewId="0">
      <selection activeCell="A8" sqref="A8"/>
    </sheetView>
  </sheetViews>
  <sheetFormatPr baseColWidth="10" defaultRowHeight="12.75"/>
  <cols>
    <col min="1" max="1" width="37.7109375" customWidth="1"/>
    <col min="2" max="4" width="15.7109375" customWidth="1"/>
    <col min="6" max="6" width="14.28515625" bestFit="1" customWidth="1"/>
  </cols>
  <sheetData>
    <row r="1" spans="1:4" ht="15">
      <c r="A1" s="360" t="s">
        <v>495</v>
      </c>
      <c r="B1" s="360"/>
      <c r="C1" s="360"/>
      <c r="D1" s="360"/>
    </row>
    <row r="2" spans="1:4">
      <c r="A2" s="5" t="s">
        <v>296</v>
      </c>
      <c r="D2" s="2" t="s">
        <v>11</v>
      </c>
    </row>
    <row r="3" spans="1:4" ht="13.5" thickBot="1">
      <c r="A3" s="20"/>
    </row>
    <row r="4" spans="1:4">
      <c r="A4" s="108"/>
      <c r="B4" s="92" t="s">
        <v>729</v>
      </c>
      <c r="C4" s="92" t="s">
        <v>747</v>
      </c>
      <c r="D4" s="120" t="s">
        <v>196</v>
      </c>
    </row>
    <row r="5" spans="1:4">
      <c r="A5" s="182"/>
      <c r="B5" s="197"/>
      <c r="C5" s="197"/>
      <c r="D5" s="133"/>
    </row>
    <row r="6" spans="1:4">
      <c r="A6" s="129" t="s">
        <v>129</v>
      </c>
      <c r="B6" s="59">
        <v>43869354</v>
      </c>
      <c r="C6" s="59">
        <v>52502394</v>
      </c>
      <c r="D6" s="18">
        <f>C6/B6-1</f>
        <v>0.19678976809186666</v>
      </c>
    </row>
    <row r="7" spans="1:4">
      <c r="A7" s="129"/>
      <c r="B7" s="59"/>
      <c r="C7" s="59"/>
      <c r="D7" s="17"/>
    </row>
    <row r="8" spans="1:4">
      <c r="A8" s="129" t="s">
        <v>24</v>
      </c>
      <c r="B8" s="125">
        <v>202</v>
      </c>
      <c r="C8" s="125">
        <v>213</v>
      </c>
      <c r="D8" s="18">
        <f>C8/B8-1</f>
        <v>5.4455445544554504E-2</v>
      </c>
    </row>
    <row r="9" spans="1:4">
      <c r="A9" s="129"/>
      <c r="B9" s="59"/>
      <c r="C9" s="59"/>
      <c r="D9" s="18"/>
    </row>
    <row r="10" spans="1:4" ht="13.5" thickBot="1">
      <c r="A10" s="135" t="s">
        <v>82</v>
      </c>
      <c r="B10" s="136">
        <f>B6/B$8</f>
        <v>217175.0198019802</v>
      </c>
      <c r="C10" s="136">
        <f>C6/C$8</f>
        <v>246490.11267605633</v>
      </c>
      <c r="D10" s="112">
        <f>C10/B10-1</f>
        <v>0.13498372373031464</v>
      </c>
    </row>
    <row r="11" spans="1:4">
      <c r="A11" s="129"/>
      <c r="B11" s="129"/>
      <c r="C11" s="129"/>
      <c r="D11" s="17"/>
    </row>
    <row r="12" spans="1:4">
      <c r="A12" s="129"/>
      <c r="B12" s="129"/>
      <c r="C12" s="129"/>
      <c r="D12" s="17"/>
    </row>
    <row r="13" spans="1:4">
      <c r="A13" s="129"/>
      <c r="B13" s="129"/>
      <c r="C13" s="129"/>
      <c r="D13" s="17"/>
    </row>
    <row r="14" spans="1:4">
      <c r="A14" s="129"/>
      <c r="B14" s="129"/>
      <c r="C14" s="129"/>
      <c r="D14" s="17"/>
    </row>
    <row r="15" spans="1:4" ht="15">
      <c r="A15" s="380" t="s">
        <v>496</v>
      </c>
      <c r="B15" s="380"/>
      <c r="C15" s="380"/>
      <c r="D15" s="380"/>
    </row>
    <row r="16" spans="1:4">
      <c r="A16" s="130" t="s">
        <v>296</v>
      </c>
      <c r="B16" s="129"/>
      <c r="C16" s="129"/>
      <c r="D16" s="94" t="s">
        <v>15</v>
      </c>
    </row>
    <row r="17" spans="1:7" ht="13.5" thickBot="1">
      <c r="A17" s="129"/>
      <c r="B17" s="129"/>
      <c r="C17" s="129"/>
      <c r="D17" s="17"/>
    </row>
    <row r="18" spans="1:7">
      <c r="A18" s="138"/>
      <c r="B18" s="116" t="s">
        <v>729</v>
      </c>
      <c r="C18" s="116" t="s">
        <v>747</v>
      </c>
      <c r="D18" s="140" t="s">
        <v>209</v>
      </c>
    </row>
    <row r="19" spans="1:7">
      <c r="A19" s="129"/>
      <c r="B19" s="129"/>
      <c r="C19" s="129"/>
      <c r="D19" s="122"/>
    </row>
    <row r="20" spans="1:7">
      <c r="A20" s="129" t="s">
        <v>129</v>
      </c>
      <c r="B20" s="60">
        <f>SUM(B22,B27,B31,B33,B35)</f>
        <v>43573010.979999997</v>
      </c>
      <c r="C20" s="60">
        <f>SUM(C22,C27,C31,C33,C35)</f>
        <v>52099267.009999998</v>
      </c>
      <c r="D20" s="192">
        <f>SUM(D22,D27,D31,D33,D35)</f>
        <v>1</v>
      </c>
      <c r="F20" s="3"/>
      <c r="G20" s="3"/>
    </row>
    <row r="21" spans="1:7">
      <c r="A21" s="129"/>
      <c r="B21" s="59"/>
      <c r="C21" s="59"/>
      <c r="D21" s="192"/>
    </row>
    <row r="22" spans="1:7">
      <c r="A22" s="129" t="s">
        <v>12</v>
      </c>
      <c r="B22" s="60">
        <f>SUM(B23:B25)</f>
        <v>3720277.44</v>
      </c>
      <c r="C22" s="60">
        <v>4786915.53</v>
      </c>
      <c r="D22" s="192">
        <f>C22/C$20</f>
        <v>9.1880669435928791E-2</v>
      </c>
      <c r="F22" s="12"/>
    </row>
    <row r="23" spans="1:7">
      <c r="A23" s="193" t="s">
        <v>16</v>
      </c>
      <c r="B23" s="194">
        <v>0</v>
      </c>
      <c r="C23" s="194"/>
      <c r="D23" s="192">
        <f>C23/C$20</f>
        <v>0</v>
      </c>
      <c r="F23" s="12"/>
    </row>
    <row r="24" spans="1:7">
      <c r="A24" s="193" t="s">
        <v>17</v>
      </c>
      <c r="B24" s="60">
        <v>3720277.44</v>
      </c>
      <c r="C24" s="60">
        <v>4786915.53</v>
      </c>
      <c r="D24" s="192">
        <f>C24/C$20</f>
        <v>9.1880669435928791E-2</v>
      </c>
      <c r="F24" s="3"/>
    </row>
    <row r="25" spans="1:7">
      <c r="A25" s="193" t="s">
        <v>18</v>
      </c>
      <c r="B25" s="194">
        <v>0</v>
      </c>
      <c r="C25" s="194">
        <v>0</v>
      </c>
      <c r="D25" s="195" t="str">
        <f>IF(C25=0,"-",C25/C$20)</f>
        <v>-</v>
      </c>
      <c r="F25" s="3"/>
    </row>
    <row r="26" spans="1:7">
      <c r="A26" s="129"/>
      <c r="B26" s="59"/>
      <c r="C26" s="59"/>
      <c r="D26" s="192"/>
      <c r="F26" s="3"/>
    </row>
    <row r="27" spans="1:7">
      <c r="A27" s="130" t="s">
        <v>727</v>
      </c>
      <c r="B27" s="59">
        <f>SUM(B28:B29)</f>
        <v>32440993.460000001</v>
      </c>
      <c r="C27" s="59">
        <f>SUM(C28:C29)</f>
        <v>39917924.939999998</v>
      </c>
      <c r="D27" s="192">
        <f>C27/C$20</f>
        <v>0.76618976102558412</v>
      </c>
      <c r="F27" s="3"/>
    </row>
    <row r="28" spans="1:7">
      <c r="A28" s="193" t="s">
        <v>19</v>
      </c>
      <c r="B28" s="59">
        <v>3654434.59</v>
      </c>
      <c r="C28" s="59">
        <v>3949475.15</v>
      </c>
      <c r="D28" s="192">
        <f>C28/C$20</f>
        <v>7.5806731584955558E-2</v>
      </c>
      <c r="F28" s="3"/>
    </row>
    <row r="29" spans="1:7">
      <c r="A29" s="193" t="s">
        <v>20</v>
      </c>
      <c r="B29" s="59">
        <v>28786558.870000001</v>
      </c>
      <c r="C29" s="59">
        <v>35968449.789999999</v>
      </c>
      <c r="D29" s="192">
        <f>C29/C$20</f>
        <v>0.69038302944062857</v>
      </c>
      <c r="F29" s="3"/>
    </row>
    <row r="30" spans="1:7">
      <c r="A30" s="129"/>
      <c r="B30" s="59"/>
      <c r="C30" s="59"/>
      <c r="D30" s="192"/>
      <c r="F30" s="12"/>
    </row>
    <row r="31" spans="1:7">
      <c r="A31" s="129" t="s">
        <v>13</v>
      </c>
      <c r="B31" s="60">
        <v>7707922.3300000001</v>
      </c>
      <c r="C31" s="60">
        <v>7790942.3799999999</v>
      </c>
      <c r="D31" s="192">
        <f>C31/C$20</f>
        <v>0.14954034532778737</v>
      </c>
      <c r="F31" s="12"/>
    </row>
    <row r="32" spans="1:7">
      <c r="A32" s="129"/>
      <c r="B32" s="59"/>
      <c r="C32" s="59"/>
      <c r="D32" s="192"/>
      <c r="F32" s="12"/>
    </row>
    <row r="33" spans="1:6">
      <c r="A33" s="129" t="s">
        <v>96</v>
      </c>
      <c r="B33" s="180">
        <v>174251.75</v>
      </c>
      <c r="C33" s="180">
        <v>160042.41</v>
      </c>
      <c r="D33" s="192">
        <f>C33/C$20</f>
        <v>3.0718745039019697E-3</v>
      </c>
      <c r="F33" s="12"/>
    </row>
    <row r="34" spans="1:6">
      <c r="A34" s="129"/>
      <c r="B34" s="59"/>
      <c r="C34" s="59"/>
      <c r="D34" s="192"/>
      <c r="F34" s="12"/>
    </row>
    <row r="35" spans="1:6" ht="13.5" thickBot="1">
      <c r="A35" s="135" t="s">
        <v>14</v>
      </c>
      <c r="B35" s="136">
        <v>-470434</v>
      </c>
      <c r="C35" s="136">
        <v>-556558.25</v>
      </c>
      <c r="D35" s="196">
        <f>C35/C$20</f>
        <v>-1.0682650293202273E-2</v>
      </c>
      <c r="F35" s="12"/>
    </row>
    <row r="36" spans="1:6">
      <c r="A36" s="23"/>
      <c r="B36" s="23"/>
      <c r="C36" s="23"/>
    </row>
    <row r="37" spans="1:6">
      <c r="A37" s="363" t="s">
        <v>482</v>
      </c>
      <c r="B37" s="363"/>
      <c r="C37" s="363"/>
      <c r="D37" s="363"/>
    </row>
    <row r="38" spans="1:6" ht="24" customHeight="1">
      <c r="A38" s="361" t="s">
        <v>244</v>
      </c>
      <c r="B38" s="382"/>
      <c r="C38" s="382"/>
      <c r="D38" s="382"/>
    </row>
    <row r="39" spans="1:6" ht="51" customHeight="1">
      <c r="A39" s="382" t="s">
        <v>245</v>
      </c>
      <c r="B39" s="382"/>
      <c r="C39" s="382"/>
      <c r="D39" s="382"/>
    </row>
    <row r="41" spans="1:6">
      <c r="A41" s="1" t="s">
        <v>184</v>
      </c>
    </row>
    <row r="42" spans="1:6">
      <c r="A42" s="364" t="s">
        <v>161</v>
      </c>
      <c r="B42" s="364"/>
      <c r="C42" s="364"/>
      <c r="D42" s="364"/>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mergeCells count="6">
    <mergeCell ref="A42:D42"/>
    <mergeCell ref="A1:D1"/>
    <mergeCell ref="A15:D15"/>
    <mergeCell ref="A37:D37"/>
    <mergeCell ref="A38:D38"/>
    <mergeCell ref="A39:D39"/>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28"/>
  <sheetViews>
    <sheetView zoomScaleNormal="100" workbookViewId="0">
      <selection activeCell="A26" sqref="A26:A30"/>
    </sheetView>
  </sheetViews>
  <sheetFormatPr baseColWidth="10" defaultRowHeight="12.75"/>
  <cols>
    <col min="1" max="1" width="37.7109375" customWidth="1"/>
    <col min="2" max="4" width="15.7109375" customWidth="1"/>
  </cols>
  <sheetData>
    <row r="1" spans="1:10" ht="15">
      <c r="A1" s="360" t="s">
        <v>497</v>
      </c>
      <c r="B1" s="360"/>
      <c r="C1" s="360"/>
      <c r="D1" s="360"/>
    </row>
    <row r="2" spans="1:10">
      <c r="A2" s="5" t="s">
        <v>296</v>
      </c>
      <c r="D2" s="2" t="s">
        <v>86</v>
      </c>
    </row>
    <row r="3" spans="1:10" ht="13.5" thickBot="1">
      <c r="A3" s="20"/>
    </row>
    <row r="4" spans="1:10">
      <c r="A4" s="115"/>
      <c r="B4" s="116" t="s">
        <v>729</v>
      </c>
      <c r="C4" s="116" t="s">
        <v>747</v>
      </c>
      <c r="D4" s="140" t="s">
        <v>196</v>
      </c>
    </row>
    <row r="5" spans="1:10">
      <c r="A5" s="17"/>
      <c r="B5" s="17"/>
      <c r="C5" s="17"/>
      <c r="D5" s="122"/>
      <c r="H5" s="20"/>
      <c r="I5" s="20"/>
      <c r="J5" s="20"/>
    </row>
    <row r="6" spans="1:10">
      <c r="A6" s="17" t="s">
        <v>87</v>
      </c>
      <c r="B6" s="17"/>
      <c r="C6" s="17"/>
      <c r="D6" s="17"/>
      <c r="H6" s="20"/>
      <c r="I6" s="20"/>
      <c r="J6" s="20"/>
    </row>
    <row r="7" spans="1:10">
      <c r="A7" s="198" t="s">
        <v>88</v>
      </c>
      <c r="B7" s="87" t="s">
        <v>110</v>
      </c>
      <c r="C7" s="283" t="s">
        <v>110</v>
      </c>
      <c r="D7" s="87" t="s">
        <v>116</v>
      </c>
      <c r="H7" s="20"/>
      <c r="I7" s="20"/>
      <c r="J7" s="20"/>
    </row>
    <row r="8" spans="1:10">
      <c r="A8" s="198" t="s">
        <v>90</v>
      </c>
      <c r="B8" s="59">
        <f>'2.9.1'!B24/0.01</f>
        <v>372027744</v>
      </c>
      <c r="C8" s="59">
        <f>'2.9.1'!C24/0.01</f>
        <v>478691553</v>
      </c>
      <c r="D8" s="18">
        <f>C8/B8-1</f>
        <v>0.2867092863912859</v>
      </c>
    </row>
    <row r="9" spans="1:10">
      <c r="A9" s="198" t="s">
        <v>89</v>
      </c>
      <c r="B9" s="199" t="s">
        <v>110</v>
      </c>
      <c r="C9" s="348" t="s">
        <v>110</v>
      </c>
      <c r="D9" s="199" t="s">
        <v>116</v>
      </c>
    </row>
    <row r="10" spans="1:10">
      <c r="A10" s="17"/>
      <c r="B10" s="59"/>
      <c r="C10" s="59"/>
      <c r="D10" s="17"/>
    </row>
    <row r="11" spans="1:10">
      <c r="A11" s="17" t="s">
        <v>91</v>
      </c>
      <c r="B11" s="59"/>
      <c r="C11" s="59"/>
      <c r="D11" s="17"/>
    </row>
    <row r="12" spans="1:10">
      <c r="A12" s="198" t="s">
        <v>92</v>
      </c>
      <c r="B12" s="59">
        <f>'2.9.1'!B28/0.0015</f>
        <v>2436289726.6666665</v>
      </c>
      <c r="C12" s="59">
        <f>'2.9.1'!C28/0.0015</f>
        <v>2632983433.333333</v>
      </c>
      <c r="D12" s="18">
        <f>C12/B12-1</f>
        <v>8.0734940723073523E-2</v>
      </c>
    </row>
    <row r="13" spans="1:10">
      <c r="A13" s="198" t="s">
        <v>93</v>
      </c>
      <c r="B13" s="59">
        <f>'2.9.1'!B29/0.003</f>
        <v>9595519623.333334</v>
      </c>
      <c r="C13" s="59">
        <f>'2.9.1'!C29/0.003</f>
        <v>11989483263.333332</v>
      </c>
      <c r="D13" s="18">
        <f>C13/B13-1</f>
        <v>0.24948764985885896</v>
      </c>
    </row>
    <row r="14" spans="1:10">
      <c r="A14" s="17"/>
      <c r="B14" s="59"/>
      <c r="C14" s="59"/>
      <c r="D14" s="17"/>
    </row>
    <row r="15" spans="1:10" ht="13.5" thickBot="1">
      <c r="A15" s="104" t="s">
        <v>94</v>
      </c>
      <c r="B15" s="174" t="s">
        <v>110</v>
      </c>
      <c r="C15" s="349" t="s">
        <v>110</v>
      </c>
      <c r="D15" s="174" t="s">
        <v>116</v>
      </c>
    </row>
    <row r="17" spans="1:4">
      <c r="A17" s="363" t="s">
        <v>506</v>
      </c>
      <c r="B17" s="363"/>
      <c r="C17" s="363"/>
      <c r="D17" s="363"/>
    </row>
    <row r="18" spans="1:4" ht="37.5" customHeight="1">
      <c r="A18" s="382" t="s">
        <v>246</v>
      </c>
      <c r="B18" s="382"/>
      <c r="C18" s="382"/>
      <c r="D18" s="382"/>
    </row>
    <row r="19" spans="1:4" ht="51" customHeight="1">
      <c r="A19" s="383" t="s">
        <v>247</v>
      </c>
      <c r="B19" s="383"/>
      <c r="C19" s="383"/>
      <c r="D19" s="383"/>
    </row>
    <row r="20" spans="1:4" ht="40.5" customHeight="1">
      <c r="A20" s="384" t="s">
        <v>777</v>
      </c>
      <c r="B20" s="384"/>
      <c r="C20" s="384"/>
      <c r="D20" s="384"/>
    </row>
    <row r="22" spans="1:4">
      <c r="A22" s="1" t="s">
        <v>184</v>
      </c>
    </row>
    <row r="23" spans="1:4">
      <c r="A23" s="364" t="s">
        <v>161</v>
      </c>
      <c r="B23" s="364"/>
      <c r="C23" s="364"/>
      <c r="D23" s="364"/>
    </row>
    <row r="28" spans="1:4">
      <c r="A28" s="5"/>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mergeCells count="6">
    <mergeCell ref="A1:D1"/>
    <mergeCell ref="A23:D23"/>
    <mergeCell ref="A17:D17"/>
    <mergeCell ref="A18:D18"/>
    <mergeCell ref="A19:D19"/>
    <mergeCell ref="A20:D20"/>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5"/>
  <sheetViews>
    <sheetView zoomScaleNormal="100" workbookViewId="0">
      <selection activeCell="C5" sqref="C5"/>
    </sheetView>
  </sheetViews>
  <sheetFormatPr baseColWidth="10" defaultRowHeight="12.75"/>
  <cols>
    <col min="1" max="1" width="37.7109375" customWidth="1"/>
    <col min="2" max="4" width="15.7109375" customWidth="1"/>
  </cols>
  <sheetData>
    <row r="1" spans="1:4" ht="15">
      <c r="A1" s="360" t="s">
        <v>498</v>
      </c>
      <c r="B1" s="360"/>
      <c r="C1" s="360"/>
      <c r="D1" s="360"/>
    </row>
    <row r="2" spans="1:4">
      <c r="A2" s="5" t="s">
        <v>296</v>
      </c>
      <c r="D2" s="2" t="s">
        <v>21</v>
      </c>
    </row>
    <row r="3" spans="1:4" ht="13.5" thickBot="1">
      <c r="A3" s="20"/>
    </row>
    <row r="4" spans="1:4">
      <c r="A4" s="115"/>
      <c r="B4" s="116" t="s">
        <v>729</v>
      </c>
      <c r="C4" s="116" t="s">
        <v>747</v>
      </c>
      <c r="D4" s="140" t="s">
        <v>196</v>
      </c>
    </row>
    <row r="5" spans="1:4">
      <c r="A5" s="17"/>
      <c r="B5" s="17"/>
      <c r="C5" s="17"/>
      <c r="D5" s="122"/>
    </row>
    <row r="6" spans="1:4">
      <c r="A6" s="121" t="s">
        <v>517</v>
      </c>
      <c r="B6" s="59">
        <v>168456</v>
      </c>
      <c r="C6" s="59">
        <v>114245</v>
      </c>
      <c r="D6" s="18">
        <f>C6/B6-1</f>
        <v>-0.32181103670988265</v>
      </c>
    </row>
    <row r="7" spans="1:4">
      <c r="A7" s="121" t="s">
        <v>529</v>
      </c>
      <c r="B7" s="59">
        <v>-3613</v>
      </c>
      <c r="C7" s="59">
        <v>-307</v>
      </c>
      <c r="D7" s="18">
        <f>C7/B7-1</f>
        <v>-0.91502906172156107</v>
      </c>
    </row>
    <row r="8" spans="1:4">
      <c r="A8" s="17" t="s">
        <v>129</v>
      </c>
      <c r="B8" s="59">
        <f>B6-B7</f>
        <v>172069</v>
      </c>
      <c r="C8" s="59">
        <f>C6-C7</f>
        <v>114552</v>
      </c>
      <c r="D8" s="18">
        <f>C8/B8-1</f>
        <v>-0.33426706728114886</v>
      </c>
    </row>
    <row r="9" spans="1:4">
      <c r="A9" s="17"/>
      <c r="B9" s="59"/>
      <c r="C9" s="59"/>
      <c r="D9" s="17"/>
    </row>
    <row r="10" spans="1:4">
      <c r="A10" s="17" t="s">
        <v>24</v>
      </c>
      <c r="B10" s="59">
        <v>480</v>
      </c>
      <c r="C10" s="59">
        <v>458</v>
      </c>
      <c r="D10" s="18">
        <f>C10/B10-1</f>
        <v>-4.5833333333333282E-2</v>
      </c>
    </row>
    <row r="11" spans="1:4">
      <c r="A11" s="17"/>
      <c r="B11" s="87"/>
      <c r="C11" s="87"/>
      <c r="D11" s="17"/>
    </row>
    <row r="12" spans="1:4" ht="13.5" thickBot="1">
      <c r="A12" s="104" t="s">
        <v>82</v>
      </c>
      <c r="B12" s="136">
        <f>B8/B10</f>
        <v>358.47708333333333</v>
      </c>
      <c r="C12" s="136">
        <f>C8/C10</f>
        <v>250.11353711790392</v>
      </c>
      <c r="D12" s="112">
        <f>C12/B12-1</f>
        <v>-0.30228862946495949</v>
      </c>
    </row>
    <row r="13" spans="1:4">
      <c r="D13" s="2"/>
    </row>
    <row r="14" spans="1:4">
      <c r="A14" s="1" t="s">
        <v>184</v>
      </c>
    </row>
    <row r="15" spans="1:4">
      <c r="A15" t="s">
        <v>197</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mergeCells count="1">
    <mergeCell ref="A1:D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32"/>
  <sheetViews>
    <sheetView zoomScaleNormal="100" workbookViewId="0">
      <selection activeCell="K49" sqref="K49"/>
    </sheetView>
  </sheetViews>
  <sheetFormatPr baseColWidth="10" defaultRowHeight="12.75"/>
  <cols>
    <col min="1" max="1" width="37.7109375" customWidth="1"/>
    <col min="2" max="4" width="15.7109375" customWidth="1"/>
  </cols>
  <sheetData>
    <row r="1" spans="1:4" ht="15">
      <c r="A1" s="360" t="s">
        <v>499</v>
      </c>
      <c r="B1" s="360"/>
      <c r="C1" s="360"/>
      <c r="D1" s="360"/>
    </row>
    <row r="2" spans="1:4">
      <c r="A2" t="s">
        <v>296</v>
      </c>
      <c r="D2" s="2" t="s">
        <v>22</v>
      </c>
    </row>
    <row r="3" spans="1:4" ht="13.5" thickBot="1">
      <c r="A3" s="20"/>
    </row>
    <row r="4" spans="1:4">
      <c r="A4" s="115"/>
      <c r="B4" s="116" t="s">
        <v>729</v>
      </c>
      <c r="C4" s="116" t="s">
        <v>747</v>
      </c>
      <c r="D4" s="140" t="s">
        <v>196</v>
      </c>
    </row>
    <row r="5" spans="1:4">
      <c r="A5" s="17"/>
      <c r="B5" s="94"/>
      <c r="C5" s="94"/>
      <c r="D5" s="158"/>
    </row>
    <row r="6" spans="1:4" ht="13.5" thickBot="1">
      <c r="A6" s="135" t="s">
        <v>517</v>
      </c>
      <c r="B6" s="136">
        <v>223720682</v>
      </c>
      <c r="C6" s="136">
        <v>220301763</v>
      </c>
      <c r="D6" s="112">
        <f>C6/B6-1</f>
        <v>-1.5282087330665273E-2</v>
      </c>
    </row>
    <row r="7" spans="1:4">
      <c r="A7" s="23"/>
      <c r="B7" s="23"/>
      <c r="C7" s="23"/>
    </row>
    <row r="8" spans="1:4">
      <c r="A8" s="23"/>
      <c r="B8" s="23"/>
      <c r="C8" s="23"/>
    </row>
    <row r="9" spans="1:4">
      <c r="A9" s="23"/>
      <c r="B9" s="23"/>
      <c r="C9" s="23"/>
    </row>
    <row r="10" spans="1:4">
      <c r="A10" s="23"/>
      <c r="B10" s="23"/>
      <c r="C10" s="23"/>
    </row>
    <row r="11" spans="1:4" ht="15">
      <c r="A11" s="365" t="s">
        <v>500</v>
      </c>
      <c r="B11" s="365"/>
      <c r="C11" s="365"/>
      <c r="D11" s="365"/>
    </row>
    <row r="12" spans="1:4">
      <c r="A12" s="26" t="s">
        <v>296</v>
      </c>
      <c r="B12" s="23"/>
      <c r="C12" s="23"/>
      <c r="D12" s="2" t="s">
        <v>23</v>
      </c>
    </row>
    <row r="13" spans="1:4" ht="13.5" thickBot="1">
      <c r="A13" s="23"/>
      <c r="B13" s="23"/>
      <c r="C13" s="23"/>
    </row>
    <row r="14" spans="1:4">
      <c r="A14" s="138"/>
      <c r="B14" s="116" t="s">
        <v>729</v>
      </c>
      <c r="C14" s="116" t="s">
        <v>747</v>
      </c>
      <c r="D14" s="140" t="s">
        <v>196</v>
      </c>
    </row>
    <row r="15" spans="1:4">
      <c r="A15" s="129"/>
      <c r="B15" s="129"/>
      <c r="C15" s="129"/>
      <c r="D15" s="122"/>
    </row>
    <row r="16" spans="1:4">
      <c r="A16" s="129" t="s">
        <v>113</v>
      </c>
      <c r="B16" s="60">
        <v>22651688548</v>
      </c>
      <c r="C16" s="60">
        <v>22234908353</v>
      </c>
      <c r="D16" s="18">
        <f>C16/B16-1</f>
        <v>-1.839951993498512E-2</v>
      </c>
    </row>
    <row r="17" spans="1:6">
      <c r="A17" s="129" t="s">
        <v>122</v>
      </c>
      <c r="B17" s="60">
        <v>-5709973768</v>
      </c>
      <c r="C17" s="60">
        <v>-6022424436</v>
      </c>
      <c r="D17" s="18">
        <f>C17/B17-1</f>
        <v>5.4720158217021142E-2</v>
      </c>
    </row>
    <row r="18" spans="1:6">
      <c r="A18" s="129" t="s">
        <v>123</v>
      </c>
      <c r="B18" s="60">
        <v>-80003766</v>
      </c>
      <c r="C18" s="60">
        <v>-91145043</v>
      </c>
      <c r="D18" s="18">
        <f>C18/B18-1</f>
        <v>0.13925940686342186</v>
      </c>
      <c r="F18" s="3"/>
    </row>
    <row r="19" spans="1:6">
      <c r="A19" s="129" t="s">
        <v>112</v>
      </c>
      <c r="B19" s="60">
        <f>SUM(B16:B18)</f>
        <v>16861711014</v>
      </c>
      <c r="C19" s="60">
        <f>SUM(C16:C18)</f>
        <v>16121338874</v>
      </c>
      <c r="D19" s="18">
        <f>C19/B19-1</f>
        <v>-4.3908482323370412E-2</v>
      </c>
      <c r="F19" s="3"/>
    </row>
    <row r="20" spans="1:6">
      <c r="A20" s="129"/>
      <c r="B20" s="130"/>
      <c r="C20" s="130"/>
      <c r="D20" s="17"/>
      <c r="F20" s="3"/>
    </row>
    <row r="21" spans="1:6">
      <c r="A21" s="129" t="s">
        <v>125</v>
      </c>
      <c r="B21" s="200">
        <v>8.5232699999999995E-3</v>
      </c>
      <c r="C21" s="200">
        <v>8.3169899999999998E-3</v>
      </c>
      <c r="D21" s="18">
        <f>C21/B21-1</f>
        <v>-2.4201978817988801E-2</v>
      </c>
      <c r="F21" s="3"/>
    </row>
    <row r="22" spans="1:6">
      <c r="A22" s="129" t="s">
        <v>124</v>
      </c>
      <c r="B22" s="124">
        <f>B19*B21</f>
        <v>143716915.63429576</v>
      </c>
      <c r="C22" s="124">
        <f>C19*C21</f>
        <v>134081014.20166926</v>
      </c>
      <c r="D22" s="18">
        <f>C22/B22-1</f>
        <v>-6.7047788982238954E-2</v>
      </c>
      <c r="F22" s="3"/>
    </row>
    <row r="23" spans="1:6">
      <c r="A23" s="129" t="s">
        <v>768</v>
      </c>
      <c r="B23" s="346">
        <v>0</v>
      </c>
      <c r="C23" s="346">
        <v>-4924294</v>
      </c>
      <c r="D23" s="18"/>
    </row>
    <row r="24" spans="1:6">
      <c r="A24" s="127"/>
      <c r="B24" s="60"/>
      <c r="C24" s="60"/>
      <c r="D24" s="18"/>
    </row>
    <row r="25" spans="1:6" ht="13.5" thickBot="1">
      <c r="A25" s="135" t="s">
        <v>126</v>
      </c>
      <c r="B25" s="132">
        <f>B18*(-1)+B22</f>
        <v>223720681.63429576</v>
      </c>
      <c r="C25" s="132">
        <f>C18*(-1)+C22+C23</f>
        <v>220301763.20166928</v>
      </c>
      <c r="D25" s="112">
        <f>C25/B25-1</f>
        <v>-1.5282084819566277E-2</v>
      </c>
    </row>
    <row r="26" spans="1:6">
      <c r="A26" s="6"/>
    </row>
    <row r="27" spans="1:6">
      <c r="A27" s="363" t="s">
        <v>482</v>
      </c>
      <c r="B27" s="363"/>
      <c r="C27" s="363"/>
      <c r="D27" s="363"/>
    </row>
    <row r="28" spans="1:6" ht="25.5" customHeight="1">
      <c r="A28" s="385" t="s">
        <v>248</v>
      </c>
      <c r="B28" s="386"/>
      <c r="C28" s="386"/>
      <c r="D28" s="386"/>
    </row>
    <row r="29" spans="1:6" ht="77.25" customHeight="1">
      <c r="A29" s="384" t="s">
        <v>532</v>
      </c>
      <c r="B29" s="383"/>
      <c r="C29" s="383"/>
      <c r="D29" s="383"/>
    </row>
    <row r="31" spans="1:6">
      <c r="A31" s="1" t="s">
        <v>184</v>
      </c>
    </row>
    <row r="32" spans="1:6">
      <c r="A32" t="s">
        <v>197</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mergeCells count="5">
    <mergeCell ref="A1:D1"/>
    <mergeCell ref="A11:D11"/>
    <mergeCell ref="A27:D27"/>
    <mergeCell ref="A28:D28"/>
    <mergeCell ref="A29:D29"/>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B14" sqref="B14"/>
    </sheetView>
  </sheetViews>
  <sheetFormatPr baseColWidth="10" defaultRowHeight="12.75"/>
  <sheetData>
    <row r="3" spans="1:1" ht="15">
      <c r="A3" s="90" t="s">
        <v>607</v>
      </c>
    </row>
  </sheetData>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E36"/>
  <sheetViews>
    <sheetView zoomScaleNormal="100" workbookViewId="0">
      <selection activeCell="F13" sqref="F13"/>
    </sheetView>
  </sheetViews>
  <sheetFormatPr baseColWidth="10" defaultRowHeight="12.75"/>
  <cols>
    <col min="1" max="1" width="37.7109375" style="20" customWidth="1"/>
    <col min="2" max="4" width="15.7109375" style="20" customWidth="1"/>
    <col min="5" max="16384" width="11.42578125" style="20"/>
  </cols>
  <sheetData>
    <row r="1" spans="1:4" ht="15">
      <c r="A1" s="366" t="s">
        <v>501</v>
      </c>
      <c r="B1" s="366"/>
      <c r="C1" s="366"/>
      <c r="D1" s="366"/>
    </row>
    <row r="2" spans="1:4">
      <c r="A2" s="35" t="s">
        <v>296</v>
      </c>
      <c r="D2" s="36" t="s">
        <v>117</v>
      </c>
    </row>
    <row r="3" spans="1:4" ht="13.5" thickBot="1"/>
    <row r="4" spans="1:4">
      <c r="A4" s="156"/>
      <c r="B4" s="202" t="s">
        <v>729</v>
      </c>
      <c r="C4" s="202" t="s">
        <v>747</v>
      </c>
      <c r="D4" s="155" t="s">
        <v>196</v>
      </c>
    </row>
    <row r="5" spans="1:4">
      <c r="A5" s="145"/>
      <c r="B5" s="124"/>
      <c r="C5" s="124"/>
      <c r="D5" s="146"/>
    </row>
    <row r="6" spans="1:4">
      <c r="A6" s="179" t="s">
        <v>131</v>
      </c>
      <c r="B6" s="125">
        <f>SUM(B8,B11,B17)</f>
        <v>-34004496.140000001</v>
      </c>
      <c r="C6" s="125">
        <f>SUM(C8,C11,C17)</f>
        <v>9652166.2399999797</v>
      </c>
      <c r="D6" s="159">
        <f>C6/B6-1</f>
        <v>-1.2838497062347585</v>
      </c>
    </row>
    <row r="7" spans="1:4">
      <c r="A7" s="145"/>
      <c r="B7" s="124"/>
      <c r="C7" s="124"/>
      <c r="D7" s="146"/>
    </row>
    <row r="8" spans="1:4">
      <c r="A8" s="179" t="s">
        <v>119</v>
      </c>
      <c r="B8" s="125">
        <f>B9</f>
        <v>4338.6000000000004</v>
      </c>
      <c r="C8" s="125">
        <f>C9</f>
        <v>-112118.9</v>
      </c>
      <c r="D8" s="164" t="s">
        <v>116</v>
      </c>
    </row>
    <row r="9" spans="1:4">
      <c r="A9" s="145" t="s">
        <v>165</v>
      </c>
      <c r="B9" s="125">
        <v>4338.6000000000004</v>
      </c>
      <c r="C9" s="125">
        <v>-112118.9</v>
      </c>
      <c r="D9" s="164" t="s">
        <v>116</v>
      </c>
    </row>
    <row r="10" spans="1:4">
      <c r="A10" s="201"/>
      <c r="B10" s="125"/>
      <c r="C10" s="125"/>
      <c r="D10" s="159"/>
    </row>
    <row r="11" spans="1:4">
      <c r="A11" s="179" t="s">
        <v>120</v>
      </c>
      <c r="B11" s="125">
        <f>SUM(B12:B15)</f>
        <v>-105131321.14</v>
      </c>
      <c r="C11" s="125">
        <f>SUM(C12:C15)</f>
        <v>-83003770.910000011</v>
      </c>
      <c r="D11" s="159">
        <f>C11/B11-1</f>
        <v>-0.21047533684593811</v>
      </c>
    </row>
    <row r="12" spans="1:4">
      <c r="A12" s="145" t="s">
        <v>166</v>
      </c>
      <c r="B12" s="125">
        <v>381825.8</v>
      </c>
      <c r="C12" s="125">
        <v>676207</v>
      </c>
      <c r="D12" s="159">
        <f>C12/B12-1</f>
        <v>0.77098299800589709</v>
      </c>
    </row>
    <row r="13" spans="1:4">
      <c r="A13" s="121" t="s">
        <v>353</v>
      </c>
      <c r="B13" s="125">
        <v>-130883211.95</v>
      </c>
      <c r="C13" s="125">
        <v>-106497116.7</v>
      </c>
      <c r="D13" s="159">
        <f>C13/B13-1</f>
        <v>-0.18631950489812221</v>
      </c>
    </row>
    <row r="14" spans="1:4">
      <c r="A14" s="145" t="s">
        <v>167</v>
      </c>
      <c r="B14" s="125">
        <v>5469234.7000000002</v>
      </c>
      <c r="C14" s="125">
        <v>3866928.3</v>
      </c>
      <c r="D14" s="159">
        <f>C14/B14-1</f>
        <v>-0.29296720435127799</v>
      </c>
    </row>
    <row r="15" spans="1:4">
      <c r="A15" s="145" t="s">
        <v>168</v>
      </c>
      <c r="B15" s="125">
        <v>19900830.309999999</v>
      </c>
      <c r="C15" s="125">
        <v>18950210.489999998</v>
      </c>
      <c r="D15" s="159">
        <f>C15/B15-1</f>
        <v>-4.7767847129590479E-2</v>
      </c>
    </row>
    <row r="16" spans="1:4">
      <c r="A16" s="145"/>
      <c r="B16" s="125"/>
      <c r="C16" s="125"/>
      <c r="D16" s="159"/>
    </row>
    <row r="17" spans="1:5">
      <c r="A17" s="179" t="s">
        <v>121</v>
      </c>
      <c r="B17" s="125">
        <f>SUM(B18:B28)</f>
        <v>71122486.400000006</v>
      </c>
      <c r="C17" s="125">
        <f>SUM(C18:C28)</f>
        <v>92768056.049999997</v>
      </c>
      <c r="D17" s="159">
        <f t="shared" ref="D17:D28" si="0">C17/B17-1</f>
        <v>0.30434213911284158</v>
      </c>
    </row>
    <row r="18" spans="1:5">
      <c r="A18" s="145" t="s">
        <v>169</v>
      </c>
      <c r="B18" s="125">
        <v>-19013990.940000001</v>
      </c>
      <c r="C18" s="125">
        <v>-6810194.8499999996</v>
      </c>
      <c r="D18" s="159">
        <f t="shared" si="0"/>
        <v>-0.64183243425906467</v>
      </c>
    </row>
    <row r="19" spans="1:5">
      <c r="A19" s="145" t="s">
        <v>170</v>
      </c>
      <c r="B19" s="161">
        <v>4132747.05</v>
      </c>
      <c r="C19" s="161">
        <v>3260455.05</v>
      </c>
      <c r="D19" s="159">
        <f t="shared" si="0"/>
        <v>-0.21106832560681399</v>
      </c>
    </row>
    <row r="20" spans="1:5">
      <c r="A20" s="145" t="s">
        <v>171</v>
      </c>
      <c r="B20" s="187">
        <v>3527327.06</v>
      </c>
      <c r="C20" s="187">
        <v>2875960.38</v>
      </c>
      <c r="D20" s="159">
        <f t="shared" si="0"/>
        <v>-0.1846629668642068</v>
      </c>
    </row>
    <row r="21" spans="1:5">
      <c r="A21" s="145" t="s">
        <v>172</v>
      </c>
      <c r="B21" s="187">
        <v>8806184.2799999993</v>
      </c>
      <c r="C21" s="187">
        <v>10326125.1</v>
      </c>
      <c r="D21" s="159">
        <f t="shared" si="0"/>
        <v>0.17259925203382198</v>
      </c>
    </row>
    <row r="22" spans="1:5">
      <c r="A22" s="145" t="s">
        <v>173</v>
      </c>
      <c r="B22" s="187">
        <v>15684090.07</v>
      </c>
      <c r="C22" s="187">
        <v>21273923.59</v>
      </c>
      <c r="D22" s="159">
        <f t="shared" si="0"/>
        <v>0.35640151867605274</v>
      </c>
    </row>
    <row r="23" spans="1:5">
      <c r="A23" s="145" t="s">
        <v>177</v>
      </c>
      <c r="B23" s="187">
        <v>907759.79</v>
      </c>
      <c r="C23" s="187">
        <v>3269506</v>
      </c>
      <c r="D23" s="159">
        <f>C23/B23-1</f>
        <v>2.6017303652544466</v>
      </c>
    </row>
    <row r="24" spans="1:5">
      <c r="A24" s="145" t="s">
        <v>174</v>
      </c>
      <c r="B24" s="187">
        <v>30641572.02</v>
      </c>
      <c r="C24" s="187">
        <v>29512037.969999999</v>
      </c>
      <c r="D24" s="159">
        <f t="shared" si="0"/>
        <v>-3.6862797028257677E-2</v>
      </c>
    </row>
    <row r="25" spans="1:5">
      <c r="A25" s="145" t="s">
        <v>178</v>
      </c>
      <c r="B25" s="187">
        <v>23647660.57</v>
      </c>
      <c r="C25" s="187">
        <v>26286123.510000002</v>
      </c>
      <c r="D25" s="159">
        <f t="shared" si="0"/>
        <v>0.11157395177378437</v>
      </c>
    </row>
    <row r="26" spans="1:5">
      <c r="A26" s="145" t="s">
        <v>175</v>
      </c>
      <c r="B26" s="125">
        <v>89038.3</v>
      </c>
      <c r="C26" s="125">
        <v>75551.05</v>
      </c>
      <c r="D26" s="159">
        <f t="shared" si="0"/>
        <v>-0.15147694868388095</v>
      </c>
    </row>
    <row r="27" spans="1:5">
      <c r="A27" s="145" t="s">
        <v>176</v>
      </c>
      <c r="B27" s="125">
        <v>335268.5</v>
      </c>
      <c r="C27" s="125">
        <v>361942.85</v>
      </c>
      <c r="D27" s="159">
        <f t="shared" si="0"/>
        <v>7.9561157698978535E-2</v>
      </c>
    </row>
    <row r="28" spans="1:5" ht="13.5" thickBot="1">
      <c r="A28" s="165" t="s">
        <v>128</v>
      </c>
      <c r="B28" s="163">
        <v>2364829.7000000002</v>
      </c>
      <c r="C28" s="163">
        <v>2336625.4</v>
      </c>
      <c r="D28" s="114">
        <f t="shared" si="0"/>
        <v>-1.192656705893036E-2</v>
      </c>
    </row>
    <row r="29" spans="1:5">
      <c r="B29" s="33"/>
      <c r="C29" s="33"/>
      <c r="D29" s="54"/>
    </row>
    <row r="30" spans="1:5">
      <c r="A30" s="368" t="s">
        <v>506</v>
      </c>
      <c r="B30" s="368"/>
      <c r="C30" s="368"/>
      <c r="D30" s="368"/>
    </row>
    <row r="31" spans="1:5" ht="25.5" customHeight="1">
      <c r="A31" s="372" t="s">
        <v>249</v>
      </c>
      <c r="B31" s="373"/>
      <c r="C31" s="373"/>
      <c r="D31" s="373"/>
      <c r="E31" s="53"/>
    </row>
    <row r="32" spans="1:5" ht="25.5" customHeight="1">
      <c r="A32" s="369" t="s">
        <v>250</v>
      </c>
      <c r="B32" s="369"/>
      <c r="C32" s="369"/>
      <c r="D32" s="369"/>
      <c r="E32" s="58"/>
    </row>
    <row r="33" spans="1:5" ht="12" customHeight="1">
      <c r="A33" s="375" t="s">
        <v>479</v>
      </c>
      <c r="B33" s="376"/>
      <c r="C33" s="376"/>
      <c r="D33" s="376"/>
      <c r="E33" s="53"/>
    </row>
    <row r="35" spans="1:5">
      <c r="A35" s="38" t="s">
        <v>184</v>
      </c>
      <c r="B35" s="33"/>
      <c r="C35" s="33"/>
    </row>
    <row r="36" spans="1:5">
      <c r="A36" s="20" t="s">
        <v>197</v>
      </c>
    </row>
  </sheetData>
  <mergeCells count="5">
    <mergeCell ref="A1:D1"/>
    <mergeCell ref="A30:D30"/>
    <mergeCell ref="A31:D31"/>
    <mergeCell ref="A32:D32"/>
    <mergeCell ref="A33:D33"/>
  </mergeCells>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36"/>
  <sheetViews>
    <sheetView zoomScaleNormal="100" workbookViewId="0">
      <selection activeCell="A8" sqref="A8"/>
    </sheetView>
  </sheetViews>
  <sheetFormatPr baseColWidth="10" defaultRowHeight="12.75"/>
  <cols>
    <col min="1" max="1" width="37.7109375" customWidth="1"/>
    <col min="2" max="4" width="15.7109375" customWidth="1"/>
  </cols>
  <sheetData>
    <row r="1" spans="1:6" ht="15">
      <c r="A1" s="360" t="s">
        <v>502</v>
      </c>
      <c r="B1" s="360"/>
      <c r="C1" s="360"/>
      <c r="D1" s="360"/>
    </row>
    <row r="2" spans="1:6">
      <c r="A2" s="5" t="s">
        <v>296</v>
      </c>
      <c r="D2" s="2" t="s">
        <v>27</v>
      </c>
    </row>
    <row r="3" spans="1:6" ht="13.5" thickBot="1">
      <c r="A3" s="20"/>
    </row>
    <row r="4" spans="1:6">
      <c r="A4" s="108"/>
      <c r="B4" s="92" t="s">
        <v>729</v>
      </c>
      <c r="C4" s="92" t="s">
        <v>747</v>
      </c>
      <c r="D4" s="120" t="s">
        <v>196</v>
      </c>
    </row>
    <row r="5" spans="1:6">
      <c r="A5" s="182"/>
      <c r="B5" s="197"/>
      <c r="C5" s="197"/>
      <c r="D5" s="133"/>
    </row>
    <row r="6" spans="1:6">
      <c r="A6" s="129" t="s">
        <v>129</v>
      </c>
      <c r="B6" s="59">
        <v>15434413</v>
      </c>
      <c r="C6" s="59">
        <v>15426852</v>
      </c>
      <c r="D6" s="18">
        <f>C6/B6-1</f>
        <v>-4.8987933651900573E-4</v>
      </c>
      <c r="E6" s="3"/>
      <c r="F6" s="3"/>
    </row>
    <row r="7" spans="1:6">
      <c r="A7" s="129"/>
      <c r="B7" s="59"/>
      <c r="C7" s="59"/>
      <c r="D7" s="17"/>
    </row>
    <row r="8" spans="1:6">
      <c r="A8" s="129" t="s">
        <v>38</v>
      </c>
      <c r="B8" s="59">
        <v>44789</v>
      </c>
      <c r="C8" s="59">
        <v>45141</v>
      </c>
      <c r="D8" s="18">
        <f>C8/B8-1</f>
        <v>7.8590725401326278E-3</v>
      </c>
    </row>
    <row r="9" spans="1:6">
      <c r="A9" s="129"/>
      <c r="B9" s="59"/>
      <c r="C9" s="59"/>
      <c r="D9" s="18"/>
    </row>
    <row r="10" spans="1:6" ht="13.5" thickBot="1">
      <c r="A10" s="135" t="s">
        <v>26</v>
      </c>
      <c r="B10" s="136">
        <f>B6/B$8</f>
        <v>344.60275960615331</v>
      </c>
      <c r="C10" s="136">
        <f>C6/C$8</f>
        <v>341.7481225493454</v>
      </c>
      <c r="D10" s="112">
        <f>C10/B10-1</f>
        <v>-8.2838485102977311E-3</v>
      </c>
    </row>
    <row r="11" spans="1:6">
      <c r="A11" s="129"/>
      <c r="B11" s="129"/>
      <c r="C11" s="129"/>
      <c r="D11" s="17"/>
    </row>
    <row r="12" spans="1:6">
      <c r="A12" s="129"/>
      <c r="B12" s="129"/>
      <c r="C12" s="129"/>
      <c r="D12" s="17"/>
    </row>
    <row r="13" spans="1:6">
      <c r="A13" s="129"/>
      <c r="B13" s="129"/>
      <c r="C13" s="129"/>
      <c r="D13" s="17"/>
    </row>
    <row r="14" spans="1:6">
      <c r="A14" s="129"/>
      <c r="B14" s="129"/>
      <c r="C14" s="129"/>
      <c r="D14" s="17"/>
    </row>
    <row r="15" spans="1:6" ht="15">
      <c r="A15" s="380" t="s">
        <v>503</v>
      </c>
      <c r="B15" s="380"/>
      <c r="C15" s="380"/>
      <c r="D15" s="380"/>
    </row>
    <row r="16" spans="1:6">
      <c r="A16" s="130" t="s">
        <v>296</v>
      </c>
      <c r="B16" s="129"/>
      <c r="C16" s="129"/>
      <c r="D16" s="94" t="s">
        <v>28</v>
      </c>
    </row>
    <row r="17" spans="1:5" ht="13.5" thickBot="1">
      <c r="A17" s="129"/>
      <c r="B17" s="129"/>
      <c r="C17" s="129"/>
      <c r="D17" s="17"/>
    </row>
    <row r="18" spans="1:5">
      <c r="A18" s="138"/>
      <c r="B18" s="116" t="s">
        <v>729</v>
      </c>
      <c r="C18" s="116" t="s">
        <v>747</v>
      </c>
      <c r="D18" s="140" t="s">
        <v>209</v>
      </c>
    </row>
    <row r="19" spans="1:5">
      <c r="A19" s="129"/>
      <c r="B19" s="129"/>
      <c r="C19" s="129"/>
      <c r="D19" s="122"/>
    </row>
    <row r="20" spans="1:5">
      <c r="A20" s="129" t="s">
        <v>129</v>
      </c>
      <c r="B20" s="59">
        <f>SUM(B22:B30)</f>
        <v>15434413</v>
      </c>
      <c r="C20" s="59">
        <f>SUM(C22:C30)</f>
        <v>15426852</v>
      </c>
      <c r="D20" s="18">
        <f>SUM(D22:D30)</f>
        <v>1</v>
      </c>
      <c r="E20" s="12"/>
    </row>
    <row r="21" spans="1:5">
      <c r="A21" s="129"/>
      <c r="B21" s="59"/>
      <c r="C21" s="59"/>
      <c r="D21" s="122"/>
      <c r="E21" s="12"/>
    </row>
    <row r="22" spans="1:5">
      <c r="A22" s="129" t="s">
        <v>29</v>
      </c>
      <c r="B22" s="59">
        <v>13016003</v>
      </c>
      <c r="C22" s="59">
        <v>13022416</v>
      </c>
      <c r="D22" s="18">
        <f t="shared" ref="D22:D29" si="0">C22/C$20</f>
        <v>0.84413955614534963</v>
      </c>
      <c r="E22" s="12"/>
    </row>
    <row r="23" spans="1:5">
      <c r="A23" s="129" t="s">
        <v>30</v>
      </c>
      <c r="B23" s="59">
        <v>1010075</v>
      </c>
      <c r="C23" s="59">
        <v>998063</v>
      </c>
      <c r="D23" s="18">
        <f t="shared" si="0"/>
        <v>6.4696478581631564E-2</v>
      </c>
      <c r="E23" s="12"/>
    </row>
    <row r="24" spans="1:5">
      <c r="A24" s="129" t="s">
        <v>31</v>
      </c>
      <c r="B24" s="59">
        <v>125491</v>
      </c>
      <c r="C24" s="59">
        <v>103361</v>
      </c>
      <c r="D24" s="18">
        <f t="shared" si="0"/>
        <v>6.7000707597376311E-3</v>
      </c>
      <c r="E24" s="12"/>
    </row>
    <row r="25" spans="1:5">
      <c r="A25" s="129" t="s">
        <v>32</v>
      </c>
      <c r="B25" s="59">
        <v>462428</v>
      </c>
      <c r="C25" s="59">
        <v>458427</v>
      </c>
      <c r="D25" s="18">
        <f t="shared" si="0"/>
        <v>2.9716172813481323E-2</v>
      </c>
      <c r="E25" s="12"/>
    </row>
    <row r="26" spans="1:5">
      <c r="A26" s="129" t="s">
        <v>33</v>
      </c>
      <c r="B26" s="59">
        <v>505155</v>
      </c>
      <c r="C26" s="59">
        <v>521721</v>
      </c>
      <c r="D26" s="18">
        <f t="shared" si="0"/>
        <v>3.381901894177762E-2</v>
      </c>
      <c r="E26" s="12"/>
    </row>
    <row r="27" spans="1:5">
      <c r="A27" s="129" t="s">
        <v>34</v>
      </c>
      <c r="B27" s="87">
        <v>71313</v>
      </c>
      <c r="C27" s="87">
        <v>71695</v>
      </c>
      <c r="D27" s="18">
        <f t="shared" si="0"/>
        <v>4.647416076850935E-3</v>
      </c>
      <c r="E27" s="12"/>
    </row>
    <row r="28" spans="1:5">
      <c r="A28" s="129" t="s">
        <v>35</v>
      </c>
      <c r="B28" s="59">
        <v>118587</v>
      </c>
      <c r="C28" s="59">
        <v>123057</v>
      </c>
      <c r="D28" s="18">
        <f t="shared" si="0"/>
        <v>7.9768056373393618E-3</v>
      </c>
      <c r="E28" s="12"/>
    </row>
    <row r="29" spans="1:5">
      <c r="A29" s="129" t="s">
        <v>36</v>
      </c>
      <c r="B29" s="59">
        <v>111499</v>
      </c>
      <c r="C29" s="59">
        <v>112220</v>
      </c>
      <c r="D29" s="18">
        <f t="shared" si="0"/>
        <v>7.2743292020951518E-3</v>
      </c>
      <c r="E29" s="12"/>
    </row>
    <row r="30" spans="1:5" ht="13.5" thickBot="1">
      <c r="A30" s="135" t="s">
        <v>37</v>
      </c>
      <c r="B30" s="136">
        <v>13862</v>
      </c>
      <c r="C30" s="136">
        <v>15892</v>
      </c>
      <c r="D30" s="112">
        <f>C30/C$20</f>
        <v>1.0301518417367328E-3</v>
      </c>
      <c r="E30" s="12"/>
    </row>
    <row r="31" spans="1:5">
      <c r="B31" s="3"/>
      <c r="C31" s="3"/>
      <c r="D31" s="12"/>
    </row>
    <row r="32" spans="1:5">
      <c r="A32" s="363" t="s">
        <v>482</v>
      </c>
      <c r="B32" s="363"/>
      <c r="C32" s="363"/>
      <c r="D32" s="363"/>
    </row>
    <row r="33" spans="1:4" ht="25.5" customHeight="1">
      <c r="A33" s="382" t="s">
        <v>141</v>
      </c>
      <c r="B33" s="382"/>
      <c r="C33" s="382"/>
      <c r="D33" s="382"/>
    </row>
    <row r="35" spans="1:4">
      <c r="A35" s="1" t="s">
        <v>184</v>
      </c>
    </row>
    <row r="36" spans="1:4">
      <c r="A36" s="387" t="s">
        <v>733</v>
      </c>
      <c r="B36" s="364"/>
      <c r="C36" s="364"/>
      <c r="D36" s="364"/>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5">
    <mergeCell ref="A1:D1"/>
    <mergeCell ref="A15:D15"/>
    <mergeCell ref="A36:D36"/>
    <mergeCell ref="A32:D32"/>
    <mergeCell ref="A33:D33"/>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8"/>
  <sheetViews>
    <sheetView zoomScaleNormal="100" workbookViewId="0">
      <selection activeCell="C24" sqref="C24"/>
    </sheetView>
  </sheetViews>
  <sheetFormatPr baseColWidth="10" defaultRowHeight="12.75"/>
  <cols>
    <col min="1" max="1" width="37.7109375" style="20" customWidth="1"/>
    <col min="2" max="4" width="15.7109375" style="20" customWidth="1"/>
    <col min="5" max="16384" width="11.42578125" style="20"/>
  </cols>
  <sheetData>
    <row r="1" spans="1:4" ht="15">
      <c r="A1" s="366" t="s">
        <v>504</v>
      </c>
      <c r="B1" s="366"/>
      <c r="C1" s="366"/>
      <c r="D1" s="366"/>
    </row>
    <row r="2" spans="1:4">
      <c r="A2" s="35" t="s">
        <v>296</v>
      </c>
      <c r="D2" s="36" t="s">
        <v>40</v>
      </c>
    </row>
    <row r="3" spans="1:4" ht="13.5" thickBot="1"/>
    <row r="4" spans="1:4">
      <c r="A4" s="142"/>
      <c r="B4" s="143" t="s">
        <v>729</v>
      </c>
      <c r="C4" s="143" t="s">
        <v>747</v>
      </c>
      <c r="D4" s="144" t="s">
        <v>196</v>
      </c>
    </row>
    <row r="5" spans="1:4">
      <c r="A5" s="167"/>
      <c r="B5" s="189"/>
      <c r="C5" s="189"/>
      <c r="D5" s="190"/>
    </row>
    <row r="6" spans="1:4">
      <c r="A6" s="127" t="s">
        <v>129</v>
      </c>
      <c r="B6" s="124">
        <f>SUM(B7:B8)</f>
        <v>84605856</v>
      </c>
      <c r="C6" s="124">
        <f>SUM(C7:C8)</f>
        <v>80440889</v>
      </c>
      <c r="D6" s="159">
        <f>C6/B6-1</f>
        <v>-4.9227880869144536E-2</v>
      </c>
    </row>
    <row r="7" spans="1:4">
      <c r="A7" s="127" t="s">
        <v>190</v>
      </c>
      <c r="B7" s="125">
        <f>SUM(B20:B28)</f>
        <v>81487313</v>
      </c>
      <c r="C7" s="125">
        <f>SUM(C20:C28)</f>
        <v>76225753</v>
      </c>
      <c r="D7" s="159">
        <f>C7/B7-1</f>
        <v>-6.4569069788814826E-2</v>
      </c>
    </row>
    <row r="8" spans="1:4" ht="13.5" thickBot="1">
      <c r="A8" s="150" t="s">
        <v>191</v>
      </c>
      <c r="B8" s="151">
        <f>SUM(B29:B30)</f>
        <v>3118543</v>
      </c>
      <c r="C8" s="151">
        <f>SUM(C29:C30)</f>
        <v>4215136</v>
      </c>
      <c r="D8" s="114">
        <f>C8/B8-1</f>
        <v>0.35163632504025122</v>
      </c>
    </row>
    <row r="9" spans="1:4">
      <c r="A9" s="127"/>
      <c r="B9" s="127"/>
      <c r="C9" s="127"/>
      <c r="D9" s="145"/>
    </row>
    <row r="10" spans="1:4">
      <c r="A10" s="127"/>
      <c r="B10" s="127"/>
      <c r="C10" s="127"/>
      <c r="D10" s="145"/>
    </row>
    <row r="11" spans="1:4">
      <c r="A11" s="206"/>
      <c r="B11" s="207"/>
      <c r="C11" s="207"/>
      <c r="D11" s="145"/>
    </row>
    <row r="12" spans="1:4">
      <c r="A12" s="127"/>
      <c r="B12" s="127"/>
      <c r="C12" s="127"/>
      <c r="D12" s="145"/>
    </row>
    <row r="13" spans="1:4" ht="15">
      <c r="A13" s="378" t="s">
        <v>505</v>
      </c>
      <c r="B13" s="378"/>
      <c r="C13" s="378"/>
      <c r="D13" s="378"/>
    </row>
    <row r="14" spans="1:4">
      <c r="A14" s="123" t="s">
        <v>296</v>
      </c>
      <c r="B14" s="127"/>
      <c r="C14" s="127"/>
      <c r="D14" s="170" t="s">
        <v>41</v>
      </c>
    </row>
    <row r="15" spans="1:4" ht="13.5" thickBot="1">
      <c r="A15" s="127"/>
      <c r="B15" s="127"/>
      <c r="C15" s="127"/>
      <c r="D15" s="145"/>
    </row>
    <row r="16" spans="1:4">
      <c r="A16" s="153"/>
      <c r="B16" s="157" t="s">
        <v>729</v>
      </c>
      <c r="C16" s="157" t="s">
        <v>747</v>
      </c>
      <c r="D16" s="155" t="s">
        <v>196</v>
      </c>
    </row>
    <row r="17" spans="1:8">
      <c r="A17" s="127"/>
      <c r="B17" s="203"/>
      <c r="C17" s="203"/>
      <c r="D17" s="184"/>
    </row>
    <row r="18" spans="1:8">
      <c r="A18" s="123" t="s">
        <v>129</v>
      </c>
      <c r="B18" s="124">
        <f>SUM(B20:B30)</f>
        <v>84605856</v>
      </c>
      <c r="C18" s="124">
        <f>SUM(C20:C30)</f>
        <v>80440889</v>
      </c>
      <c r="D18" s="159">
        <f>C18/B18-1</f>
        <v>-4.9227880869144536E-2</v>
      </c>
      <c r="H18" s="33"/>
    </row>
    <row r="19" spans="1:8">
      <c r="A19" s="127"/>
      <c r="B19" s="125"/>
      <c r="C19" s="125"/>
      <c r="D19" s="145"/>
      <c r="H19" s="33"/>
    </row>
    <row r="20" spans="1:8">
      <c r="A20" s="123" t="s">
        <v>516</v>
      </c>
      <c r="B20" s="125">
        <v>121054</v>
      </c>
      <c r="C20" s="125">
        <v>81075</v>
      </c>
      <c r="D20" s="159">
        <f t="shared" ref="D20:D30" si="0">C20/B20-1</f>
        <v>-0.33025757100137132</v>
      </c>
      <c r="F20" s="33"/>
      <c r="G20" s="33"/>
      <c r="H20" s="33"/>
    </row>
    <row r="21" spans="1:8">
      <c r="A21" s="127" t="s">
        <v>134</v>
      </c>
      <c r="B21" s="125">
        <v>6632949</v>
      </c>
      <c r="C21" s="125">
        <v>5392595</v>
      </c>
      <c r="D21" s="159">
        <f t="shared" si="0"/>
        <v>-0.18699887485943278</v>
      </c>
      <c r="F21" s="33"/>
      <c r="G21" s="33"/>
      <c r="H21" s="33"/>
    </row>
    <row r="22" spans="1:8">
      <c r="A22" s="123" t="s">
        <v>521</v>
      </c>
      <c r="B22" s="204">
        <v>765189</v>
      </c>
      <c r="C22" s="204">
        <v>734639</v>
      </c>
      <c r="D22" s="159">
        <f>C22/B22-1</f>
        <v>-3.9924776754501123E-2</v>
      </c>
      <c r="F22" s="33"/>
      <c r="G22" s="33"/>
    </row>
    <row r="23" spans="1:8">
      <c r="A23" s="127" t="s">
        <v>4</v>
      </c>
      <c r="B23" s="125">
        <v>1150727</v>
      </c>
      <c r="C23" s="125">
        <v>574539</v>
      </c>
      <c r="D23" s="159">
        <f>C23/B23-1</f>
        <v>-0.50071650356687547</v>
      </c>
      <c r="F23" s="33"/>
      <c r="G23" s="33"/>
      <c r="H23" s="33"/>
    </row>
    <row r="24" spans="1:8">
      <c r="A24" s="127" t="s">
        <v>127</v>
      </c>
      <c r="B24" s="125">
        <v>33641461</v>
      </c>
      <c r="C24" s="125">
        <v>31935594</v>
      </c>
      <c r="D24" s="159">
        <f>C24/B24-1</f>
        <v>-5.0707280519118991E-2</v>
      </c>
      <c r="F24" s="33"/>
      <c r="G24" s="33"/>
    </row>
    <row r="25" spans="1:8">
      <c r="A25" s="123" t="s">
        <v>239</v>
      </c>
      <c r="B25" s="125">
        <v>118290</v>
      </c>
      <c r="C25" s="125">
        <v>119807</v>
      </c>
      <c r="D25" s="159">
        <f t="shared" si="0"/>
        <v>1.2824414574351239E-2</v>
      </c>
      <c r="F25" s="33"/>
      <c r="G25" s="33"/>
    </row>
    <row r="26" spans="1:8">
      <c r="A26" s="123" t="s">
        <v>240</v>
      </c>
      <c r="B26" s="124">
        <v>75000</v>
      </c>
      <c r="C26" s="124">
        <v>75000</v>
      </c>
      <c r="D26" s="159">
        <f t="shared" si="0"/>
        <v>0</v>
      </c>
      <c r="F26" s="33"/>
      <c r="G26" s="33"/>
    </row>
    <row r="27" spans="1:8">
      <c r="A27" s="123" t="s">
        <v>590</v>
      </c>
      <c r="B27" s="124">
        <v>9175000</v>
      </c>
      <c r="C27" s="124">
        <v>10400000</v>
      </c>
      <c r="D27" s="159">
        <f t="shared" si="0"/>
        <v>0.13351498637602188</v>
      </c>
      <c r="F27" s="33"/>
      <c r="G27" s="33"/>
    </row>
    <row r="28" spans="1:8">
      <c r="A28" s="205" t="s">
        <v>726</v>
      </c>
      <c r="B28" s="124">
        <v>29807643</v>
      </c>
      <c r="C28" s="124">
        <v>26912504</v>
      </c>
      <c r="D28" s="159">
        <f>C28/B28-1</f>
        <v>-9.7127404538493667E-2</v>
      </c>
      <c r="F28" s="33"/>
      <c r="G28" s="33"/>
    </row>
    <row r="29" spans="1:8">
      <c r="A29" s="123" t="s">
        <v>39</v>
      </c>
      <c r="B29" s="124">
        <v>2858662</v>
      </c>
      <c r="C29" s="124">
        <v>3946554</v>
      </c>
      <c r="D29" s="159">
        <f t="shared" si="0"/>
        <v>0.38055985632439238</v>
      </c>
      <c r="F29" s="33"/>
      <c r="G29" s="33"/>
    </row>
    <row r="30" spans="1:8" ht="13.5" thickBot="1">
      <c r="A30" s="185" t="s">
        <v>97</v>
      </c>
      <c r="B30" s="151">
        <v>259881</v>
      </c>
      <c r="C30" s="151">
        <v>268582</v>
      </c>
      <c r="D30" s="114">
        <f t="shared" si="0"/>
        <v>3.3480708478111243E-2</v>
      </c>
      <c r="F30" s="33"/>
      <c r="G30" s="33"/>
    </row>
    <row r="31" spans="1:8">
      <c r="A31" s="35"/>
      <c r="B31" s="19"/>
      <c r="C31" s="19"/>
      <c r="D31" s="54"/>
    </row>
    <row r="32" spans="1:8">
      <c r="A32" s="368" t="s">
        <v>482</v>
      </c>
      <c r="B32" s="368"/>
      <c r="C32" s="368"/>
      <c r="D32" s="368"/>
    </row>
    <row r="33" spans="1:4" ht="24.75" customHeight="1">
      <c r="A33" s="376" t="s">
        <v>251</v>
      </c>
      <c r="B33" s="376"/>
      <c r="C33" s="376"/>
      <c r="D33" s="376"/>
    </row>
    <row r="34" spans="1:4" ht="26.25" customHeight="1">
      <c r="A34" s="375" t="s">
        <v>769</v>
      </c>
      <c r="B34" s="376"/>
      <c r="C34" s="376"/>
      <c r="D34" s="376"/>
    </row>
    <row r="35" spans="1:4">
      <c r="A35" s="376" t="s">
        <v>108</v>
      </c>
      <c r="B35" s="376"/>
      <c r="C35" s="388"/>
      <c r="D35" s="388"/>
    </row>
    <row r="37" spans="1:4">
      <c r="A37" s="38" t="s">
        <v>184</v>
      </c>
    </row>
    <row r="38" spans="1:4">
      <c r="A38" s="379" t="s">
        <v>95</v>
      </c>
      <c r="B38" s="379"/>
      <c r="C38" s="379"/>
      <c r="D38" s="379"/>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mergeCells count="7">
    <mergeCell ref="A34:D34"/>
    <mergeCell ref="A35:D35"/>
    <mergeCell ref="A38:D38"/>
    <mergeCell ref="A1:D1"/>
    <mergeCell ref="A13:D13"/>
    <mergeCell ref="A32:D32"/>
    <mergeCell ref="A33:D33"/>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H23" sqref="H23"/>
    </sheetView>
  </sheetViews>
  <sheetFormatPr baseColWidth="10" defaultRowHeight="12.75"/>
  <sheetData>
    <row r="3" spans="1:1" ht="15">
      <c r="A3" s="90" t="s">
        <v>646</v>
      </c>
    </row>
  </sheetData>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5"/>
  <sheetViews>
    <sheetView zoomScaleNormal="100" workbookViewId="0">
      <selection activeCell="E38" sqref="E38"/>
    </sheetView>
  </sheetViews>
  <sheetFormatPr baseColWidth="10" defaultRowHeight="12.75"/>
  <cols>
    <col min="1" max="1" width="37.7109375" customWidth="1"/>
    <col min="2" max="4" width="15.7109375" customWidth="1"/>
  </cols>
  <sheetData>
    <row r="1" spans="1:9" ht="15">
      <c r="A1" s="360" t="s">
        <v>315</v>
      </c>
      <c r="B1" s="360"/>
      <c r="C1" s="360"/>
      <c r="D1" s="360"/>
    </row>
    <row r="2" spans="1:9">
      <c r="A2" s="5" t="s">
        <v>296</v>
      </c>
      <c r="D2" s="2" t="s">
        <v>42</v>
      </c>
    </row>
    <row r="3" spans="1:9" ht="13.5" thickBot="1">
      <c r="A3" s="20"/>
    </row>
    <row r="4" spans="1:9">
      <c r="A4" s="115"/>
      <c r="B4" s="116" t="s">
        <v>729</v>
      </c>
      <c r="C4" s="116" t="s">
        <v>747</v>
      </c>
      <c r="D4" s="140" t="s">
        <v>196</v>
      </c>
    </row>
    <row r="5" spans="1:9">
      <c r="A5" s="17"/>
      <c r="B5" s="17"/>
      <c r="C5" s="17"/>
      <c r="D5" s="122"/>
    </row>
    <row r="6" spans="1:9">
      <c r="A6" s="17" t="s">
        <v>192</v>
      </c>
      <c r="B6" s="60">
        <v>957943208.98000002</v>
      </c>
      <c r="C6" s="60">
        <v>1271287848.71</v>
      </c>
      <c r="D6" s="18">
        <f>C6/B6-1</f>
        <v>0.32710147824279012</v>
      </c>
    </row>
    <row r="7" spans="1:9">
      <c r="A7" s="17" t="s">
        <v>43</v>
      </c>
      <c r="B7" s="124">
        <v>637180837</v>
      </c>
      <c r="C7" s="124">
        <v>958644987.71000004</v>
      </c>
      <c r="D7" s="18">
        <f>C7/B7-1</f>
        <v>0.50451007318978758</v>
      </c>
      <c r="I7" s="76"/>
    </row>
    <row r="8" spans="1:9" ht="13.5" thickBot="1">
      <c r="A8" s="104" t="s">
        <v>44</v>
      </c>
      <c r="B8" s="151">
        <v>320762372</v>
      </c>
      <c r="C8" s="151">
        <v>312642861</v>
      </c>
      <c r="D8" s="112">
        <f>C8/B8-1</f>
        <v>-2.5313165473162202E-2</v>
      </c>
      <c r="I8" s="76"/>
    </row>
    <row r="9" spans="1:9">
      <c r="C9" s="5"/>
      <c r="I9" s="76"/>
    </row>
    <row r="14" spans="1:9" ht="15">
      <c r="A14" s="360" t="s">
        <v>297</v>
      </c>
      <c r="B14" s="360"/>
      <c r="C14" s="360"/>
      <c r="D14" s="360"/>
    </row>
    <row r="15" spans="1:9">
      <c r="A15" s="5" t="s">
        <v>295</v>
      </c>
      <c r="C15" s="2" t="s">
        <v>45</v>
      </c>
    </row>
    <row r="16" spans="1:9" ht="13.5" thickBot="1"/>
    <row r="17" spans="1:5">
      <c r="A17" s="115"/>
      <c r="B17" s="116" t="str">
        <f>B4</f>
        <v>RJ 2019</v>
      </c>
      <c r="C17" s="116" t="str">
        <f>C4</f>
        <v>RJ 2020</v>
      </c>
      <c r="D17" s="4"/>
    </row>
    <row r="18" spans="1:5">
      <c r="A18" s="17"/>
      <c r="B18" s="17"/>
      <c r="C18" s="17"/>
    </row>
    <row r="19" spans="1:5">
      <c r="A19" s="17" t="s">
        <v>192</v>
      </c>
      <c r="B19" s="18">
        <f>B6/B$6</f>
        <v>1</v>
      </c>
      <c r="C19" s="18">
        <f t="shared" ref="B19:C21" si="0">C6/C$6</f>
        <v>1</v>
      </c>
    </row>
    <row r="20" spans="1:5">
      <c r="A20" s="17" t="s">
        <v>43</v>
      </c>
      <c r="B20" s="18">
        <f>B7/B$6</f>
        <v>0.66515512717967717</v>
      </c>
      <c r="C20" s="18">
        <f>C7/C$6</f>
        <v>0.75407390126693596</v>
      </c>
      <c r="D20" s="12"/>
    </row>
    <row r="21" spans="1:5" ht="13.5" thickBot="1">
      <c r="A21" s="104" t="s">
        <v>44</v>
      </c>
      <c r="B21" s="112">
        <f t="shared" si="0"/>
        <v>0.33484487284120085</v>
      </c>
      <c r="C21" s="112">
        <f t="shared" si="0"/>
        <v>0.24592609873306401</v>
      </c>
      <c r="D21" s="12"/>
    </row>
    <row r="22" spans="1:5">
      <c r="D22" s="12"/>
    </row>
    <row r="23" spans="1:5">
      <c r="A23" s="363" t="s">
        <v>482</v>
      </c>
      <c r="B23" s="363"/>
      <c r="C23" s="363"/>
      <c r="D23" s="363"/>
    </row>
    <row r="24" spans="1:5" ht="64.5" customHeight="1">
      <c r="A24" s="384" t="s">
        <v>533</v>
      </c>
      <c r="B24" s="383"/>
      <c r="C24" s="383"/>
      <c r="D24" s="383"/>
      <c r="E24" s="30"/>
    </row>
    <row r="25" spans="1:5" ht="40.5" customHeight="1">
      <c r="A25" s="385" t="s">
        <v>778</v>
      </c>
      <c r="B25" s="386"/>
      <c r="C25" s="386"/>
      <c r="D25" s="386"/>
      <c r="E25" s="30"/>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mergeCells count="5">
    <mergeCell ref="A1:D1"/>
    <mergeCell ref="A14:D14"/>
    <mergeCell ref="A23:D23"/>
    <mergeCell ref="A24:D24"/>
    <mergeCell ref="A25:D25"/>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4"/>
  <sheetViews>
    <sheetView zoomScaleNormal="100" workbookViewId="0">
      <selection activeCell="A25" sqref="A25:D25"/>
    </sheetView>
  </sheetViews>
  <sheetFormatPr baseColWidth="10" defaultRowHeight="12.75"/>
  <cols>
    <col min="1" max="1" width="38.28515625" customWidth="1"/>
    <col min="2" max="3" width="15.7109375" customWidth="1"/>
    <col min="4" max="4" width="15.140625" customWidth="1"/>
  </cols>
  <sheetData>
    <row r="1" spans="1:4" ht="15">
      <c r="A1" s="360" t="s">
        <v>298</v>
      </c>
      <c r="B1" s="360"/>
      <c r="C1" s="360"/>
      <c r="D1" s="360"/>
    </row>
    <row r="2" spans="1:4">
      <c r="A2" s="10" t="s">
        <v>296</v>
      </c>
      <c r="D2" s="2" t="s">
        <v>46</v>
      </c>
    </row>
    <row r="3" spans="1:4" ht="13.5" thickBot="1">
      <c r="A3" s="20"/>
    </row>
    <row r="4" spans="1:4">
      <c r="A4" s="115"/>
      <c r="B4" s="116" t="s">
        <v>729</v>
      </c>
      <c r="C4" s="116" t="s">
        <v>747</v>
      </c>
      <c r="D4" s="140" t="s">
        <v>196</v>
      </c>
    </row>
    <row r="5" spans="1:4">
      <c r="A5" s="17"/>
      <c r="B5" s="17"/>
      <c r="C5" s="17"/>
      <c r="D5" s="17"/>
    </row>
    <row r="6" spans="1:4">
      <c r="A6" s="17" t="s">
        <v>192</v>
      </c>
      <c r="B6" s="59">
        <v>957943208.98000002</v>
      </c>
      <c r="C6" s="59">
        <v>1271287848.71</v>
      </c>
      <c r="D6" s="18">
        <f>C6/B6-1</f>
        <v>0.32710147824279012</v>
      </c>
    </row>
    <row r="7" spans="1:4">
      <c r="A7" s="17"/>
      <c r="B7" s="59"/>
      <c r="C7" s="59"/>
      <c r="D7" s="17"/>
    </row>
    <row r="8" spans="1:4">
      <c r="A8" s="171" t="s">
        <v>272</v>
      </c>
      <c r="B8" s="59">
        <v>600556341</v>
      </c>
      <c r="C8" s="59">
        <v>913538398</v>
      </c>
      <c r="D8" s="18">
        <f>C8/B8-1</f>
        <v>0.52115352987339447</v>
      </c>
    </row>
    <row r="9" spans="1:4">
      <c r="A9" s="17" t="s">
        <v>54</v>
      </c>
      <c r="B9" s="59">
        <v>36364615</v>
      </c>
      <c r="C9" s="59">
        <v>44838008</v>
      </c>
      <c r="D9" s="18">
        <f>C9/B9-1</f>
        <v>0.23301203656356595</v>
      </c>
    </row>
    <row r="10" spans="1:4">
      <c r="A10" s="17" t="s">
        <v>60</v>
      </c>
      <c r="B10" s="59">
        <v>320762372</v>
      </c>
      <c r="C10" s="59">
        <v>312642861</v>
      </c>
      <c r="D10" s="18">
        <f>C10/B10-1</f>
        <v>-2.5313165473162202E-2</v>
      </c>
    </row>
    <row r="11" spans="1:4" ht="13.5" thickBot="1">
      <c r="A11" s="104" t="s">
        <v>66</v>
      </c>
      <c r="B11" s="136">
        <v>259881</v>
      </c>
      <c r="C11" s="136">
        <v>268582</v>
      </c>
      <c r="D11" s="112">
        <f>C11/B11-1</f>
        <v>3.3480708478111243E-2</v>
      </c>
    </row>
    <row r="12" spans="1:4">
      <c r="B12" s="5"/>
    </row>
    <row r="13" spans="1:4">
      <c r="B13" s="5"/>
    </row>
    <row r="14" spans="1:4">
      <c r="B14" s="5"/>
    </row>
    <row r="15" spans="1:4">
      <c r="B15" s="35"/>
      <c r="C15" s="20"/>
    </row>
    <row r="16" spans="1:4" ht="15">
      <c r="A16" s="360" t="s">
        <v>299</v>
      </c>
      <c r="B16" s="360"/>
    </row>
    <row r="17" spans="1:4">
      <c r="A17" s="5" t="s">
        <v>295</v>
      </c>
      <c r="C17" s="2" t="s">
        <v>49</v>
      </c>
    </row>
    <row r="18" spans="1:4" ht="13.5" thickBot="1"/>
    <row r="19" spans="1:4">
      <c r="A19" s="115"/>
      <c r="B19" s="116" t="str">
        <f>B4</f>
        <v>RJ 2019</v>
      </c>
      <c r="C19" s="116" t="str">
        <f>C4</f>
        <v>RJ 2020</v>
      </c>
      <c r="D19" s="4"/>
    </row>
    <row r="20" spans="1:4">
      <c r="A20" s="17"/>
      <c r="B20" s="171"/>
      <c r="C20" s="17"/>
    </row>
    <row r="21" spans="1:4">
      <c r="A21" s="17" t="s">
        <v>192</v>
      </c>
      <c r="B21" s="109">
        <f>B6/B$6</f>
        <v>1</v>
      </c>
      <c r="C21" s="208">
        <f>C6/C$6</f>
        <v>1</v>
      </c>
    </row>
    <row r="22" spans="1:4">
      <c r="A22" s="17"/>
      <c r="B22" s="171"/>
      <c r="C22" s="17"/>
    </row>
    <row r="23" spans="1:4">
      <c r="A23" s="171" t="s">
        <v>272</v>
      </c>
      <c r="B23" s="109">
        <f>B8/B$6</f>
        <v>0.62692269789089183</v>
      </c>
      <c r="C23" s="208">
        <f>C8/C$6</f>
        <v>0.71859288116926845</v>
      </c>
    </row>
    <row r="24" spans="1:4">
      <c r="A24" s="17" t="s">
        <v>54</v>
      </c>
      <c r="B24" s="109">
        <f t="shared" ref="B24:C26" si="0">B9/B$6</f>
        <v>3.7961138676185578E-2</v>
      </c>
      <c r="C24" s="208">
        <f t="shared" si="0"/>
        <v>3.5269752672849014E-2</v>
      </c>
    </row>
    <row r="25" spans="1:4">
      <c r="A25" s="17" t="s">
        <v>60</v>
      </c>
      <c r="B25" s="109">
        <f t="shared" si="0"/>
        <v>0.33484487284120085</v>
      </c>
      <c r="C25" s="208">
        <f t="shared" si="0"/>
        <v>0.24592609873306401</v>
      </c>
    </row>
    <row r="26" spans="1:4" ht="13.5" thickBot="1">
      <c r="A26" s="104" t="s">
        <v>66</v>
      </c>
      <c r="B26" s="113">
        <f t="shared" si="0"/>
        <v>2.7129061259979748E-4</v>
      </c>
      <c r="C26" s="209">
        <f t="shared" si="0"/>
        <v>2.1126765293362574E-4</v>
      </c>
    </row>
    <row r="27" spans="1:4">
      <c r="B27" s="5"/>
    </row>
    <row r="28" spans="1:4">
      <c r="B28" s="5"/>
    </row>
    <row r="29" spans="1:4">
      <c r="B29" s="5"/>
    </row>
    <row r="30" spans="1:4">
      <c r="B30" s="5"/>
    </row>
    <row r="31" spans="1:4">
      <c r="B31" s="5"/>
    </row>
    <row r="32" spans="1:4">
      <c r="B32" s="5"/>
    </row>
    <row r="33" spans="2:2">
      <c r="B33" s="5"/>
    </row>
    <row r="34" spans="2:2">
      <c r="B34" s="5"/>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mergeCells count="2">
    <mergeCell ref="A16:B16"/>
    <mergeCell ref="A1:D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6"/>
  <sheetViews>
    <sheetView zoomScaleNormal="100" workbookViewId="0">
      <selection activeCell="A25" sqref="A25:D25"/>
    </sheetView>
  </sheetViews>
  <sheetFormatPr baseColWidth="10" defaultRowHeight="12.75"/>
  <cols>
    <col min="1" max="1" width="40.42578125" customWidth="1"/>
    <col min="2" max="3" width="15.7109375" customWidth="1"/>
    <col min="4" max="4" width="14.7109375" customWidth="1"/>
  </cols>
  <sheetData>
    <row r="1" spans="1:4" ht="15">
      <c r="A1" s="389" t="s">
        <v>300</v>
      </c>
      <c r="B1" s="389"/>
      <c r="C1" s="389"/>
      <c r="D1" s="389"/>
    </row>
    <row r="2" spans="1:4">
      <c r="A2" s="5" t="s">
        <v>296</v>
      </c>
      <c r="D2" s="2" t="s">
        <v>115</v>
      </c>
    </row>
    <row r="3" spans="1:4" ht="13.5" thickBot="1">
      <c r="A3" s="20"/>
    </row>
    <row r="4" spans="1:4">
      <c r="A4" s="115"/>
      <c r="B4" s="116" t="s">
        <v>729</v>
      </c>
      <c r="C4" s="116" t="s">
        <v>747</v>
      </c>
      <c r="D4" s="140" t="s">
        <v>196</v>
      </c>
    </row>
    <row r="5" spans="1:4">
      <c r="A5" s="17"/>
      <c r="B5" s="17"/>
      <c r="C5" s="17"/>
      <c r="D5" s="17"/>
    </row>
    <row r="6" spans="1:4">
      <c r="A6" s="93" t="s">
        <v>132</v>
      </c>
      <c r="B6" s="210">
        <v>957943209</v>
      </c>
      <c r="C6" s="210">
        <v>1271287849</v>
      </c>
      <c r="D6" s="18">
        <f>C6/B6-1</f>
        <v>0.32710147851781479</v>
      </c>
    </row>
    <row r="7" spans="1:4">
      <c r="A7" s="17"/>
      <c r="B7" s="211"/>
      <c r="C7" s="211"/>
      <c r="D7" s="17"/>
    </row>
    <row r="8" spans="1:4">
      <c r="A8" s="93" t="s">
        <v>272</v>
      </c>
      <c r="B8" s="212">
        <v>600556341</v>
      </c>
      <c r="C8" s="212">
        <v>913538398</v>
      </c>
      <c r="D8" s="18">
        <f>C8/B8-1</f>
        <v>0.52115352987339447</v>
      </c>
    </row>
    <row r="9" spans="1:4">
      <c r="A9" s="17" t="s">
        <v>69</v>
      </c>
      <c r="B9" s="212">
        <v>306845304</v>
      </c>
      <c r="C9" s="212">
        <v>317596773</v>
      </c>
      <c r="D9" s="18">
        <f>C9/B9-1</f>
        <v>3.5038727527666458E-2</v>
      </c>
    </row>
    <row r="10" spans="1:4">
      <c r="A10" s="213" t="s">
        <v>273</v>
      </c>
      <c r="B10" s="211">
        <v>306845304</v>
      </c>
      <c r="C10" s="211">
        <v>317596773</v>
      </c>
      <c r="D10" s="18">
        <f>C10/B10-1</f>
        <v>3.5038727527666458E-2</v>
      </c>
    </row>
    <row r="11" spans="1:4">
      <c r="A11" s="214" t="s">
        <v>50</v>
      </c>
      <c r="B11" s="210">
        <v>0</v>
      </c>
      <c r="C11" s="210" t="s">
        <v>774</v>
      </c>
      <c r="D11" s="111" t="s">
        <v>116</v>
      </c>
    </row>
    <row r="12" spans="1:4">
      <c r="A12" s="17" t="s">
        <v>70</v>
      </c>
      <c r="B12" s="210">
        <v>263936408</v>
      </c>
      <c r="C12" s="210">
        <v>565548908</v>
      </c>
      <c r="D12" s="18">
        <f>C12/B12-1</f>
        <v>1.1427468543862278</v>
      </c>
    </row>
    <row r="13" spans="1:4">
      <c r="A13" s="213" t="s">
        <v>274</v>
      </c>
      <c r="B13" s="211">
        <v>263936408</v>
      </c>
      <c r="C13" s="211">
        <v>565548908</v>
      </c>
      <c r="D13" s="18">
        <f>C13/B13-1</f>
        <v>1.1427468543862278</v>
      </c>
    </row>
    <row r="14" spans="1:4">
      <c r="A14" s="214" t="s">
        <v>52</v>
      </c>
      <c r="B14" s="210">
        <v>0</v>
      </c>
      <c r="C14" s="210" t="s">
        <v>774</v>
      </c>
      <c r="D14" s="17"/>
    </row>
    <row r="15" spans="1:4">
      <c r="A15" s="17" t="s">
        <v>53</v>
      </c>
      <c r="B15" s="211">
        <v>29774629</v>
      </c>
      <c r="C15" s="211">
        <v>30392717</v>
      </c>
      <c r="D15" s="18">
        <f>C15/B15-1</f>
        <v>2.0758881663983209E-2</v>
      </c>
    </row>
    <row r="16" spans="1:4">
      <c r="A16" s="93" t="s">
        <v>54</v>
      </c>
      <c r="B16" s="210">
        <v>36364615</v>
      </c>
      <c r="C16" s="210">
        <v>44838008</v>
      </c>
      <c r="D16" s="18">
        <f>C16/B16-1</f>
        <v>0.23301203656356595</v>
      </c>
    </row>
    <row r="17" spans="1:4">
      <c r="A17" s="17" t="s">
        <v>55</v>
      </c>
      <c r="B17" s="215">
        <v>0</v>
      </c>
      <c r="C17" s="215">
        <v>0</v>
      </c>
      <c r="D17" s="111" t="s">
        <v>116</v>
      </c>
    </row>
    <row r="18" spans="1:4">
      <c r="A18" s="17" t="s">
        <v>71</v>
      </c>
      <c r="B18" s="210">
        <v>34888</v>
      </c>
      <c r="C18" s="210">
        <v>18923</v>
      </c>
      <c r="D18" s="18">
        <f>C18/B18-1</f>
        <v>-0.45760720018344414</v>
      </c>
    </row>
    <row r="19" spans="1:4">
      <c r="A19" s="214" t="s">
        <v>56</v>
      </c>
      <c r="B19" s="215">
        <v>0</v>
      </c>
      <c r="C19" s="215">
        <v>0</v>
      </c>
      <c r="D19" s="111" t="s">
        <v>116</v>
      </c>
    </row>
    <row r="20" spans="1:4">
      <c r="A20" s="214" t="s">
        <v>57</v>
      </c>
      <c r="B20" s="211">
        <v>34888</v>
      </c>
      <c r="C20" s="211">
        <v>18923</v>
      </c>
      <c r="D20" s="18">
        <f>C20/B20-1</f>
        <v>-0.45760720018344414</v>
      </c>
    </row>
    <row r="21" spans="1:4">
      <c r="A21" s="17" t="s">
        <v>58</v>
      </c>
      <c r="B21" s="210">
        <v>0</v>
      </c>
      <c r="C21" s="210">
        <v>0</v>
      </c>
      <c r="D21" s="134" t="s">
        <v>116</v>
      </c>
    </row>
    <row r="22" spans="1:4">
      <c r="A22" s="171" t="s">
        <v>275</v>
      </c>
      <c r="B22" s="211">
        <v>36329727</v>
      </c>
      <c r="C22" s="211">
        <v>44819085</v>
      </c>
      <c r="D22" s="18">
        <f>C22/B22-1</f>
        <v>0.23367524892218428</v>
      </c>
    </row>
    <row r="23" spans="1:4">
      <c r="A23" s="17" t="s">
        <v>133</v>
      </c>
      <c r="B23" s="215"/>
      <c r="C23" s="215"/>
      <c r="D23" s="111" t="s">
        <v>116</v>
      </c>
    </row>
    <row r="24" spans="1:4">
      <c r="A24" s="17" t="s">
        <v>59</v>
      </c>
      <c r="B24" s="215"/>
      <c r="C24" s="215"/>
      <c r="D24" s="111" t="s">
        <v>116</v>
      </c>
    </row>
    <row r="25" spans="1:4">
      <c r="A25" s="93" t="s">
        <v>60</v>
      </c>
      <c r="B25" s="210">
        <v>320762372</v>
      </c>
      <c r="C25" s="210">
        <v>312642861</v>
      </c>
      <c r="D25" s="18">
        <f>C25/B25-1</f>
        <v>-2.5313165473162202E-2</v>
      </c>
    </row>
    <row r="26" spans="1:4">
      <c r="A26" s="171" t="s">
        <v>276</v>
      </c>
      <c r="B26" s="210">
        <v>302394297</v>
      </c>
      <c r="C26" s="210">
        <v>293194456</v>
      </c>
      <c r="D26" s="18">
        <f>C26/B26-1</f>
        <v>-3.042332838704298E-2</v>
      </c>
    </row>
    <row r="27" spans="1:4">
      <c r="A27" s="214" t="s">
        <v>61</v>
      </c>
      <c r="B27" s="211">
        <v>223720682</v>
      </c>
      <c r="C27" s="211">
        <v>220301763</v>
      </c>
      <c r="D27" s="18">
        <f>C27/B27-1</f>
        <v>-1.5282087330665273E-2</v>
      </c>
    </row>
    <row r="28" spans="1:4">
      <c r="A28" s="213" t="s">
        <v>277</v>
      </c>
      <c r="B28" s="211">
        <v>78673615</v>
      </c>
      <c r="C28" s="211">
        <v>72892693</v>
      </c>
      <c r="D28" s="18">
        <f>C28/B28-1</f>
        <v>-7.3479806412861559E-2</v>
      </c>
    </row>
    <row r="29" spans="1:4">
      <c r="A29" s="214" t="s">
        <v>62</v>
      </c>
      <c r="B29" s="210">
        <v>0</v>
      </c>
      <c r="C29" s="210">
        <v>0</v>
      </c>
      <c r="D29" s="111" t="s">
        <v>116</v>
      </c>
    </row>
    <row r="30" spans="1:4">
      <c r="A30" s="171" t="s">
        <v>278</v>
      </c>
      <c r="B30" s="210">
        <v>18368075</v>
      </c>
      <c r="C30" s="210">
        <v>19448405</v>
      </c>
      <c r="D30" s="18">
        <f>C30/B30-1</f>
        <v>5.8815635280234924E-2</v>
      </c>
    </row>
    <row r="31" spans="1:4">
      <c r="A31" s="214" t="s">
        <v>63</v>
      </c>
      <c r="B31" s="211">
        <v>18368075</v>
      </c>
      <c r="C31" s="211">
        <v>19448405</v>
      </c>
      <c r="D31" s="18">
        <f>C31/B31-1</f>
        <v>5.8815635280234924E-2</v>
      </c>
    </row>
    <row r="32" spans="1:4">
      <c r="A32" s="214" t="s">
        <v>64</v>
      </c>
      <c r="B32" s="215">
        <v>0</v>
      </c>
      <c r="C32" s="215">
        <v>0</v>
      </c>
      <c r="D32" s="111" t="s">
        <v>116</v>
      </c>
    </row>
    <row r="33" spans="1:4">
      <c r="A33" s="17" t="s">
        <v>65</v>
      </c>
      <c r="B33" s="215">
        <v>0</v>
      </c>
      <c r="C33" s="215">
        <v>0</v>
      </c>
      <c r="D33" s="111" t="s">
        <v>116</v>
      </c>
    </row>
    <row r="34" spans="1:4">
      <c r="A34" s="93" t="s">
        <v>66</v>
      </c>
      <c r="B34" s="210">
        <v>259881</v>
      </c>
      <c r="C34" s="210">
        <v>268582</v>
      </c>
      <c r="D34" s="18">
        <f>C34/B34-1</f>
        <v>3.3480708478111243E-2</v>
      </c>
    </row>
    <row r="35" spans="1:4">
      <c r="A35" s="17" t="s">
        <v>67</v>
      </c>
      <c r="B35" s="211">
        <v>0</v>
      </c>
      <c r="C35" s="211">
        <v>0</v>
      </c>
      <c r="D35" s="126" t="s">
        <v>116</v>
      </c>
    </row>
    <row r="36" spans="1:4" ht="13.5" thickBot="1">
      <c r="A36" s="104" t="s">
        <v>68</v>
      </c>
      <c r="B36" s="216">
        <v>259881</v>
      </c>
      <c r="C36" s="216">
        <v>268582</v>
      </c>
      <c r="D36" s="112">
        <f>C36/B36-1</f>
        <v>3.3480708478111243E-2</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mergeCells count="1">
    <mergeCell ref="A1:D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A12"/>
  <sheetViews>
    <sheetView zoomScaleNormal="100" workbookViewId="0">
      <selection activeCell="A25" sqref="A25:D25"/>
    </sheetView>
  </sheetViews>
  <sheetFormatPr baseColWidth="10" defaultRowHeight="12.75"/>
  <cols>
    <col min="1" max="1" width="90.28515625" customWidth="1"/>
  </cols>
  <sheetData>
    <row r="1" spans="1:1">
      <c r="A1" s="9" t="s">
        <v>301</v>
      </c>
    </row>
    <row r="2" spans="1:1">
      <c r="A2" s="1"/>
    </row>
    <row r="3" spans="1:1" ht="38.25">
      <c r="A3" s="67" t="s">
        <v>736</v>
      </c>
    </row>
    <row r="4" spans="1:1" ht="25.5">
      <c r="A4" s="40" t="s">
        <v>534</v>
      </c>
    </row>
    <row r="5" spans="1:1" ht="25.5">
      <c r="A5" s="40" t="s">
        <v>252</v>
      </c>
    </row>
    <row r="6" spans="1:1" ht="25.5">
      <c r="A6" s="40" t="s">
        <v>253</v>
      </c>
    </row>
    <row r="7" spans="1:1">
      <c r="A7" s="40" t="s">
        <v>254</v>
      </c>
    </row>
    <row r="8" spans="1:1" ht="25.5">
      <c r="A8" s="40" t="s">
        <v>255</v>
      </c>
    </row>
    <row r="9" spans="1:1" ht="25.5">
      <c r="A9" s="40" t="s">
        <v>256</v>
      </c>
    </row>
    <row r="10" spans="1:1" ht="25.5">
      <c r="A10" s="67" t="s">
        <v>775</v>
      </c>
    </row>
    <row r="11" spans="1:1" ht="25.5">
      <c r="A11" s="40" t="s">
        <v>257</v>
      </c>
    </row>
    <row r="12" spans="1:1">
      <c r="A12" s="40" t="s">
        <v>737</v>
      </c>
    </row>
  </sheetData>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8"/>
  <sheetViews>
    <sheetView topLeftCell="A13" zoomScaleNormal="100" workbookViewId="0">
      <selection activeCell="A25" sqref="A25:D25"/>
    </sheetView>
  </sheetViews>
  <sheetFormatPr baseColWidth="10" defaultRowHeight="12.75"/>
  <cols>
    <col min="1" max="1" width="38.5703125" customWidth="1"/>
    <col min="2" max="4" width="15.7109375" customWidth="1"/>
  </cols>
  <sheetData>
    <row r="1" spans="1:4" ht="15">
      <c r="A1" s="389" t="s">
        <v>302</v>
      </c>
      <c r="B1" s="389"/>
      <c r="C1" s="389"/>
      <c r="D1" s="389"/>
    </row>
    <row r="2" spans="1:4">
      <c r="A2" s="5" t="s">
        <v>296</v>
      </c>
      <c r="D2" s="2" t="s">
        <v>72</v>
      </c>
    </row>
    <row r="3" spans="1:4" ht="13.5" thickBot="1">
      <c r="A3" s="20"/>
    </row>
    <row r="4" spans="1:4">
      <c r="A4" s="115"/>
      <c r="B4" s="116" t="s">
        <v>729</v>
      </c>
      <c r="C4" s="116" t="s">
        <v>747</v>
      </c>
      <c r="D4" s="140" t="s">
        <v>196</v>
      </c>
    </row>
    <row r="5" spans="1:4">
      <c r="A5" s="17"/>
      <c r="B5" s="17"/>
      <c r="C5" s="17"/>
      <c r="D5" s="122"/>
    </row>
    <row r="6" spans="1:4">
      <c r="A6" s="17" t="s">
        <v>192</v>
      </c>
      <c r="B6" s="59">
        <v>957943208.98000002</v>
      </c>
      <c r="C6" s="59">
        <v>1271287848.71</v>
      </c>
      <c r="D6" s="18">
        <f>C6/B6-1</f>
        <v>0.32710147824279012</v>
      </c>
    </row>
    <row r="7" spans="1:4">
      <c r="A7" s="17"/>
      <c r="B7" s="59"/>
      <c r="C7" s="59"/>
      <c r="D7" s="122"/>
    </row>
    <row r="8" spans="1:4">
      <c r="A8" s="17" t="s">
        <v>47</v>
      </c>
      <c r="B8" s="59">
        <v>380216351.98000002</v>
      </c>
      <c r="C8" s="59">
        <v>381204286.70999998</v>
      </c>
      <c r="D8" s="18">
        <f t="shared" ref="D8:D16" si="0">C8/B8-1</f>
        <v>2.5983488738852145E-3</v>
      </c>
    </row>
    <row r="9" spans="1:4">
      <c r="A9" s="213" t="s">
        <v>291</v>
      </c>
      <c r="B9" s="59">
        <v>368498652.98000002</v>
      </c>
      <c r="C9" s="59">
        <v>368406257.70999998</v>
      </c>
      <c r="D9" s="18">
        <f t="shared" si="0"/>
        <v>-2.5073434937372685E-4</v>
      </c>
    </row>
    <row r="10" spans="1:4">
      <c r="A10" s="217" t="s">
        <v>290</v>
      </c>
      <c r="B10" s="59">
        <v>223720682</v>
      </c>
      <c r="C10" s="59">
        <v>220301763</v>
      </c>
      <c r="D10" s="18">
        <f t="shared" si="0"/>
        <v>-1.5282087330665273E-2</v>
      </c>
    </row>
    <row r="11" spans="1:4">
      <c r="A11" s="217" t="s">
        <v>289</v>
      </c>
      <c r="B11" s="59">
        <v>23739659.120000001</v>
      </c>
      <c r="C11" s="59">
        <v>21938985.120000001</v>
      </c>
      <c r="D11" s="18">
        <f t="shared" si="0"/>
        <v>-7.5850878519269971E-2</v>
      </c>
    </row>
    <row r="12" spans="1:4">
      <c r="A12" s="217" t="s">
        <v>288</v>
      </c>
      <c r="B12" s="59">
        <v>121038311.86</v>
      </c>
      <c r="C12" s="59">
        <v>126165509.59</v>
      </c>
      <c r="D12" s="18">
        <f t="shared" si="0"/>
        <v>4.2360122602588923E-2</v>
      </c>
    </row>
    <row r="13" spans="1:4">
      <c r="A13" s="213" t="s">
        <v>287</v>
      </c>
      <c r="B13" s="59">
        <v>11717699</v>
      </c>
      <c r="C13" s="59">
        <v>12798029</v>
      </c>
      <c r="D13" s="18">
        <f t="shared" si="0"/>
        <v>9.2196428667437269E-2</v>
      </c>
    </row>
    <row r="14" spans="1:4">
      <c r="A14" s="17" t="s">
        <v>48</v>
      </c>
      <c r="B14" s="59">
        <v>577726857</v>
      </c>
      <c r="C14" s="59">
        <v>890083562</v>
      </c>
      <c r="D14" s="18">
        <f t="shared" si="0"/>
        <v>0.54066502399074023</v>
      </c>
    </row>
    <row r="15" spans="1:4">
      <c r="A15" s="213" t="s">
        <v>286</v>
      </c>
      <c r="B15" s="59">
        <v>561606712</v>
      </c>
      <c r="C15" s="59">
        <v>872745681</v>
      </c>
      <c r="D15" s="18">
        <f t="shared" si="0"/>
        <v>0.55401575934156577</v>
      </c>
    </row>
    <row r="16" spans="1:4">
      <c r="A16" s="213" t="s">
        <v>285</v>
      </c>
      <c r="B16" s="59">
        <v>16120145</v>
      </c>
      <c r="C16" s="59">
        <v>17337881</v>
      </c>
      <c r="D16" s="18">
        <f t="shared" si="0"/>
        <v>7.5541255987461753E-2</v>
      </c>
    </row>
    <row r="17" spans="1:4" ht="13.5" thickBot="1">
      <c r="A17" s="104" t="s">
        <v>105</v>
      </c>
      <c r="B17" s="218">
        <v>0</v>
      </c>
      <c r="C17" s="218">
        <v>0</v>
      </c>
      <c r="D17" s="137" t="s">
        <v>116</v>
      </c>
    </row>
    <row r="18" spans="1:4">
      <c r="B18" s="3"/>
      <c r="C18" s="3"/>
      <c r="D18" s="12"/>
    </row>
    <row r="22" spans="1:4" ht="15">
      <c r="A22" s="360" t="s">
        <v>303</v>
      </c>
      <c r="B22" s="360"/>
      <c r="C22" s="360"/>
      <c r="D22" s="360"/>
    </row>
    <row r="23" spans="1:4">
      <c r="A23" s="5" t="s">
        <v>295</v>
      </c>
      <c r="C23" s="2" t="s">
        <v>73</v>
      </c>
    </row>
    <row r="24" spans="1:4" ht="13.5" thickBot="1"/>
    <row r="25" spans="1:4">
      <c r="A25" s="115"/>
      <c r="B25" s="116" t="str">
        <f>B4</f>
        <v>RJ 2019</v>
      </c>
      <c r="C25" s="116" t="str">
        <f>C4</f>
        <v>RJ 2020</v>
      </c>
      <c r="D25" s="4"/>
    </row>
    <row r="26" spans="1:4">
      <c r="A26" s="17"/>
      <c r="B26" s="17"/>
      <c r="C26" s="17"/>
    </row>
    <row r="27" spans="1:4">
      <c r="A27" s="171" t="s">
        <v>192</v>
      </c>
      <c r="B27" s="18">
        <f>SUM(B29,B35,B38)</f>
        <v>1</v>
      </c>
      <c r="C27" s="18">
        <f>SUM(C29,C35,C38)</f>
        <v>1</v>
      </c>
    </row>
    <row r="28" spans="1:4">
      <c r="A28" s="17"/>
      <c r="B28" s="17"/>
      <c r="C28" s="17"/>
    </row>
    <row r="29" spans="1:4">
      <c r="A29" s="17" t="s">
        <v>47</v>
      </c>
      <c r="B29" s="18">
        <f t="shared" ref="B29:C38" si="1">B8/B$6</f>
        <v>0.39690907395736669</v>
      </c>
      <c r="C29" s="18">
        <f t="shared" si="1"/>
        <v>0.29985678467454496</v>
      </c>
      <c r="D29" s="5"/>
    </row>
    <row r="30" spans="1:4">
      <c r="A30" s="213" t="s">
        <v>291</v>
      </c>
      <c r="B30" s="18">
        <f t="shared" si="1"/>
        <v>0.38467693024555233</v>
      </c>
      <c r="C30" s="18">
        <f t="shared" si="1"/>
        <v>0.28978980494765905</v>
      </c>
      <c r="D30" s="7"/>
    </row>
    <row r="31" spans="1:4">
      <c r="A31" s="217" t="s">
        <v>290</v>
      </c>
      <c r="B31" s="18">
        <f t="shared" si="1"/>
        <v>0.23354274021965624</v>
      </c>
      <c r="C31" s="18">
        <f t="shared" si="1"/>
        <v>0.17329022945003714</v>
      </c>
      <c r="D31" s="7"/>
    </row>
    <row r="32" spans="1:4">
      <c r="A32" s="217" t="s">
        <v>289</v>
      </c>
      <c r="B32" s="18">
        <f t="shared" si="1"/>
        <v>2.4781906586380568E-2</v>
      </c>
      <c r="C32" s="18">
        <f t="shared" si="1"/>
        <v>1.7257291605722421E-2</v>
      </c>
      <c r="D32" s="5"/>
    </row>
    <row r="33" spans="1:4">
      <c r="A33" s="217" t="s">
        <v>288</v>
      </c>
      <c r="B33" s="18">
        <f t="shared" si="1"/>
        <v>0.12635228343951552</v>
      </c>
      <c r="C33" s="18">
        <f t="shared" si="1"/>
        <v>9.9242283891899499E-2</v>
      </c>
      <c r="D33" s="5"/>
    </row>
    <row r="34" spans="1:4">
      <c r="A34" s="213" t="s">
        <v>287</v>
      </c>
      <c r="B34" s="18">
        <f t="shared" si="1"/>
        <v>1.2232143711814384E-2</v>
      </c>
      <c r="C34" s="18">
        <f t="shared" si="1"/>
        <v>1.0066979726885932E-2</v>
      </c>
      <c r="D34" s="5"/>
    </row>
    <row r="35" spans="1:4">
      <c r="A35" s="17" t="s">
        <v>48</v>
      </c>
      <c r="B35" s="18">
        <f t="shared" si="1"/>
        <v>0.60309092604263326</v>
      </c>
      <c r="C35" s="18">
        <f t="shared" si="1"/>
        <v>0.70014321532545498</v>
      </c>
      <c r="D35" s="5"/>
    </row>
    <row r="36" spans="1:4">
      <c r="A36" s="213" t="s">
        <v>286</v>
      </c>
      <c r="B36" s="18">
        <f t="shared" si="1"/>
        <v>0.58626305477752516</v>
      </c>
      <c r="C36" s="18">
        <f t="shared" si="1"/>
        <v>0.68650517023787461</v>
      </c>
      <c r="D36" s="5"/>
    </row>
    <row r="37" spans="1:4">
      <c r="A37" s="213" t="s">
        <v>285</v>
      </c>
      <c r="B37" s="18">
        <f t="shared" si="1"/>
        <v>1.6827871265108114E-2</v>
      </c>
      <c r="C37" s="18">
        <f t="shared" si="1"/>
        <v>1.3638045087580344E-2</v>
      </c>
      <c r="D37" s="5"/>
    </row>
    <row r="38" spans="1:4" ht="13.5" thickBot="1">
      <c r="A38" s="104" t="s">
        <v>105</v>
      </c>
      <c r="B38" s="112">
        <f t="shared" si="1"/>
        <v>0</v>
      </c>
      <c r="C38" s="112">
        <f t="shared" si="1"/>
        <v>0</v>
      </c>
      <c r="D38" s="5"/>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mergeCells count="2">
    <mergeCell ref="A1:D1"/>
    <mergeCell ref="A22:D22"/>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A9"/>
  <sheetViews>
    <sheetView zoomScaleNormal="100" workbookViewId="0">
      <selection activeCell="C7" sqref="C7"/>
    </sheetView>
  </sheetViews>
  <sheetFormatPr baseColWidth="10" defaultRowHeight="12.75"/>
  <cols>
    <col min="1" max="1" width="107.28515625" customWidth="1"/>
  </cols>
  <sheetData>
    <row r="1" spans="1:1">
      <c r="A1" s="9" t="s">
        <v>304</v>
      </c>
    </row>
    <row r="2" spans="1:1">
      <c r="A2" s="32"/>
    </row>
    <row r="3" spans="1:1">
      <c r="A3" s="68" t="s">
        <v>258</v>
      </c>
    </row>
    <row r="4" spans="1:1">
      <c r="A4" s="31" t="s">
        <v>259</v>
      </c>
    </row>
    <row r="5" spans="1:1" ht="38.25">
      <c r="A5" s="53" t="s">
        <v>776</v>
      </c>
    </row>
    <row r="6" spans="1:1">
      <c r="A6" s="30" t="s">
        <v>260</v>
      </c>
    </row>
    <row r="7" spans="1:1" ht="25.5">
      <c r="A7" s="30" t="s">
        <v>536</v>
      </c>
    </row>
    <row r="8" spans="1:1" ht="25.5">
      <c r="A8" s="30" t="s">
        <v>738</v>
      </c>
    </row>
    <row r="9" spans="1:1">
      <c r="A9" s="30" t="s">
        <v>535</v>
      </c>
    </row>
  </sheetData>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41"/>
  <sheetViews>
    <sheetView zoomScaleNormal="100" workbookViewId="0">
      <selection activeCell="B13" sqref="B13"/>
    </sheetView>
  </sheetViews>
  <sheetFormatPr baseColWidth="10" defaultRowHeight="12.75"/>
  <cols>
    <col min="1" max="1" width="33.7109375" customWidth="1"/>
    <col min="2" max="6" width="10" customWidth="1"/>
  </cols>
  <sheetData>
    <row r="1" spans="1:12" ht="15">
      <c r="A1" s="360" t="s">
        <v>292</v>
      </c>
      <c r="B1" s="360"/>
      <c r="C1" s="360"/>
      <c r="D1" s="360"/>
      <c r="E1" s="360"/>
      <c r="F1" s="360"/>
    </row>
    <row r="2" spans="1:12">
      <c r="A2" s="5" t="s">
        <v>293</v>
      </c>
      <c r="F2" s="2" t="s">
        <v>185</v>
      </c>
    </row>
    <row r="3" spans="1:12" ht="13.5" thickBot="1">
      <c r="A3" s="20" t="s">
        <v>76</v>
      </c>
    </row>
    <row r="4" spans="1:12" s="1" customFormat="1">
      <c r="A4" s="117" t="s">
        <v>76</v>
      </c>
      <c r="B4" s="116" t="s">
        <v>598</v>
      </c>
      <c r="C4" s="116" t="s">
        <v>725</v>
      </c>
      <c r="D4" s="116" t="s">
        <v>728</v>
      </c>
      <c r="E4" s="116" t="s">
        <v>729</v>
      </c>
      <c r="F4" s="116" t="s">
        <v>747</v>
      </c>
    </row>
    <row r="5" spans="1:12" s="1" customFormat="1">
      <c r="A5" s="93"/>
      <c r="B5" s="94"/>
      <c r="C5" s="94"/>
      <c r="D5" s="94"/>
      <c r="E5" s="94"/>
      <c r="F5" s="94"/>
    </row>
    <row r="6" spans="1:12">
      <c r="A6" s="17" t="s">
        <v>179</v>
      </c>
      <c r="B6" s="95">
        <v>851.98281199999997</v>
      </c>
      <c r="C6" s="95">
        <v>860.99195699999996</v>
      </c>
      <c r="D6" s="95">
        <v>909.82174899999995</v>
      </c>
      <c r="E6" s="95">
        <v>957.94320900000002</v>
      </c>
      <c r="F6" s="95">
        <v>1271.2878490000001</v>
      </c>
      <c r="G6" s="353"/>
      <c r="H6" s="353"/>
      <c r="I6" s="3"/>
      <c r="J6" s="3"/>
      <c r="K6" s="3"/>
      <c r="L6" s="3"/>
    </row>
    <row r="7" spans="1:12">
      <c r="A7" s="17" t="s">
        <v>594</v>
      </c>
      <c r="B7" s="95">
        <v>600.23450200000002</v>
      </c>
      <c r="C7" s="95">
        <v>606.50854600000002</v>
      </c>
      <c r="D7" s="95">
        <v>652.35561199999995</v>
      </c>
      <c r="E7" s="95">
        <v>693.56189300000005</v>
      </c>
      <c r="F7" s="95">
        <v>973.029763</v>
      </c>
      <c r="I7" s="3"/>
      <c r="J7" s="3"/>
      <c r="K7" s="3"/>
      <c r="L7" s="3"/>
    </row>
    <row r="8" spans="1:12">
      <c r="A8" s="17" t="s">
        <v>595</v>
      </c>
      <c r="B8" s="95">
        <v>251.74831</v>
      </c>
      <c r="C8" s="95">
        <v>254.48341099999999</v>
      </c>
      <c r="D8" s="95">
        <v>257.466137</v>
      </c>
      <c r="E8" s="95">
        <v>264.38131600000003</v>
      </c>
      <c r="F8" s="95">
        <v>298.25808599999999</v>
      </c>
      <c r="I8" s="3"/>
      <c r="J8" s="3"/>
      <c r="K8" s="3"/>
      <c r="L8" s="3"/>
    </row>
    <row r="9" spans="1:12">
      <c r="A9" s="17"/>
      <c r="B9" s="95"/>
      <c r="C9" s="95"/>
      <c r="D9" s="95"/>
      <c r="E9" s="95"/>
      <c r="F9" s="95"/>
    </row>
    <row r="10" spans="1:12">
      <c r="A10" s="17" t="s">
        <v>189</v>
      </c>
      <c r="B10" s="95">
        <v>374.352058</v>
      </c>
      <c r="C10" s="95">
        <v>371.622139</v>
      </c>
      <c r="D10" s="95">
        <v>391.29434199999997</v>
      </c>
      <c r="E10" s="95">
        <v>416.917981</v>
      </c>
      <c r="F10" s="95">
        <v>421.11125099999998</v>
      </c>
      <c r="I10" s="3"/>
      <c r="J10" s="3"/>
      <c r="K10" s="3"/>
      <c r="L10" s="3"/>
    </row>
    <row r="11" spans="1:12">
      <c r="A11" s="17"/>
      <c r="B11" s="95"/>
      <c r="C11" s="95"/>
      <c r="D11" s="95"/>
      <c r="E11" s="95"/>
      <c r="F11" s="95"/>
    </row>
    <row r="12" spans="1:12">
      <c r="A12" s="17" t="s">
        <v>180</v>
      </c>
      <c r="B12" s="95">
        <v>1226.3348699999999</v>
      </c>
      <c r="C12" s="95">
        <v>1232.614096</v>
      </c>
      <c r="D12" s="95">
        <v>1301.1160910000001</v>
      </c>
      <c r="E12" s="95">
        <v>1374.8611900000001</v>
      </c>
      <c r="F12" s="95">
        <v>1692.399099</v>
      </c>
      <c r="I12" s="3"/>
      <c r="J12" s="3"/>
      <c r="K12" s="3"/>
      <c r="L12" s="3"/>
    </row>
    <row r="13" spans="1:12">
      <c r="A13" s="17"/>
      <c r="B13" s="95"/>
      <c r="C13" s="95"/>
      <c r="D13" s="95"/>
      <c r="E13" s="95"/>
      <c r="F13" s="95"/>
    </row>
    <row r="14" spans="1:12">
      <c r="A14" s="17" t="s">
        <v>183</v>
      </c>
      <c r="B14" s="98">
        <v>6146.2</v>
      </c>
      <c r="C14" s="100">
        <v>6375</v>
      </c>
      <c r="D14" s="99">
        <v>6688</v>
      </c>
      <c r="E14" s="99">
        <v>6643</v>
      </c>
      <c r="F14" s="100"/>
    </row>
    <row r="15" spans="1:12">
      <c r="A15" s="17"/>
      <c r="B15" s="101"/>
      <c r="C15" s="102"/>
      <c r="D15" s="101"/>
      <c r="E15" s="101"/>
      <c r="F15" s="101"/>
    </row>
    <row r="16" spans="1:12">
      <c r="A16" s="17" t="s">
        <v>325</v>
      </c>
      <c r="B16" s="97">
        <f>SUM(B17:B18)</f>
        <v>1110.956649</v>
      </c>
      <c r="C16" s="97">
        <f>SUM(C17:C18)</f>
        <v>1192.977764</v>
      </c>
      <c r="D16" s="97">
        <f>SUM(D17:D18)</f>
        <v>1063.578454</v>
      </c>
      <c r="E16" s="97">
        <f>SUM(E17:E18)</f>
        <v>1369.2046149999999</v>
      </c>
      <c r="F16" s="97">
        <f>SUM(F17:F18)</f>
        <v>1621.4482399999999</v>
      </c>
    </row>
    <row r="17" spans="1:6">
      <c r="A17" s="17" t="s">
        <v>596</v>
      </c>
      <c r="B17" s="95">
        <v>785.12952600000006</v>
      </c>
      <c r="C17" s="96">
        <v>863.13352499999996</v>
      </c>
      <c r="D17" s="103">
        <v>745.24984099999995</v>
      </c>
      <c r="E17" s="103">
        <v>1026.7237339999999</v>
      </c>
      <c r="F17" s="103">
        <v>1254.3431399999999</v>
      </c>
    </row>
    <row r="18" spans="1:6" ht="13.5" thickBot="1">
      <c r="A18" s="104" t="s">
        <v>597</v>
      </c>
      <c r="B18" s="105">
        <v>325.82712299999997</v>
      </c>
      <c r="C18" s="106">
        <v>329.84423900000002</v>
      </c>
      <c r="D18" s="107">
        <v>318.32861300000002</v>
      </c>
      <c r="E18" s="107">
        <v>342.48088100000001</v>
      </c>
      <c r="F18" s="107">
        <v>367.10509999999999</v>
      </c>
    </row>
    <row r="19" spans="1:6">
      <c r="E19" s="5"/>
    </row>
    <row r="20" spans="1:6">
      <c r="E20" s="3"/>
      <c r="F20" s="3"/>
    </row>
    <row r="21" spans="1:6">
      <c r="B21" s="20"/>
    </row>
    <row r="23" spans="1:6" ht="15">
      <c r="A23" s="360" t="s">
        <v>294</v>
      </c>
      <c r="B23" s="360"/>
      <c r="C23" s="360"/>
      <c r="D23" s="360"/>
      <c r="E23" s="360"/>
      <c r="F23" s="360"/>
    </row>
    <row r="24" spans="1:6">
      <c r="A24" s="5" t="s">
        <v>295</v>
      </c>
      <c r="F24" s="2" t="s">
        <v>186</v>
      </c>
    </row>
    <row r="25" spans="1:6" ht="13.5" thickBot="1"/>
    <row r="26" spans="1:6">
      <c r="A26" s="115"/>
      <c r="B26" s="116" t="str">
        <f>B4</f>
        <v>RJ 2016</v>
      </c>
      <c r="C26" s="116" t="str">
        <f t="shared" ref="C26:F26" si="0">C4</f>
        <v>RJ 2017</v>
      </c>
      <c r="D26" s="116" t="str">
        <f t="shared" si="0"/>
        <v>RJ 2018</v>
      </c>
      <c r="E26" s="116" t="str">
        <f t="shared" si="0"/>
        <v>RJ 2019</v>
      </c>
      <c r="F26" s="116" t="str">
        <f t="shared" si="0"/>
        <v>RJ 2020</v>
      </c>
    </row>
    <row r="27" spans="1:6">
      <c r="A27" s="17"/>
      <c r="B27" s="17"/>
      <c r="C27" s="17"/>
      <c r="D27" s="17"/>
      <c r="E27" s="59"/>
      <c r="F27" s="59"/>
    </row>
    <row r="28" spans="1:6">
      <c r="A28" s="17" t="s">
        <v>181</v>
      </c>
      <c r="B28" s="109">
        <f>B6/B14</f>
        <v>0.13861944160619569</v>
      </c>
      <c r="C28" s="109">
        <f>C6/C14</f>
        <v>0.13505756188235293</v>
      </c>
      <c r="D28" s="110">
        <f>D6/D14</f>
        <v>0.13603794093899521</v>
      </c>
      <c r="E28" s="110">
        <f>E6/E14</f>
        <v>0.14420340343218427</v>
      </c>
      <c r="F28" s="111" t="s">
        <v>110</v>
      </c>
    </row>
    <row r="29" spans="1:6">
      <c r="A29" s="17" t="s">
        <v>182</v>
      </c>
      <c r="B29" s="109">
        <f>B12/B14</f>
        <v>0.1995273290813836</v>
      </c>
      <c r="C29" s="109">
        <f>C12/C14</f>
        <v>0.19335123074509805</v>
      </c>
      <c r="D29" s="110">
        <f>D12/D14</f>
        <v>0.19454487006578949</v>
      </c>
      <c r="E29" s="110">
        <f>E12/E14</f>
        <v>0.20696390034622913</v>
      </c>
      <c r="F29" s="111" t="s">
        <v>110</v>
      </c>
    </row>
    <row r="30" spans="1:6">
      <c r="A30" s="17"/>
      <c r="B30" s="17"/>
      <c r="C30" s="17"/>
      <c r="D30" s="17"/>
      <c r="E30" s="17"/>
      <c r="F30" s="17"/>
    </row>
    <row r="31" spans="1:6">
      <c r="A31" s="17" t="s">
        <v>323</v>
      </c>
      <c r="B31" s="18">
        <f t="shared" ref="B31:E33" si="1">B6/B16</f>
        <v>0.76689114086214893</v>
      </c>
      <c r="C31" s="18">
        <f t="shared" si="1"/>
        <v>0.72171668490545304</v>
      </c>
      <c r="D31" s="18">
        <f t="shared" si="1"/>
        <v>0.85543454324244894</v>
      </c>
      <c r="E31" s="109">
        <f t="shared" si="1"/>
        <v>0.69963480878276185</v>
      </c>
      <c r="F31" s="18">
        <f>F6/F16</f>
        <v>0.78404466922730764</v>
      </c>
    </row>
    <row r="32" spans="1:6">
      <c r="A32" s="17" t="s">
        <v>77</v>
      </c>
      <c r="B32" s="18">
        <f t="shared" si="1"/>
        <v>0.76450379475347863</v>
      </c>
      <c r="C32" s="18">
        <f t="shared" si="1"/>
        <v>0.70268217886682138</v>
      </c>
      <c r="D32" s="18">
        <f t="shared" si="1"/>
        <v>0.87535156146380177</v>
      </c>
      <c r="E32" s="109">
        <f t="shared" si="1"/>
        <v>0.67550975012329861</v>
      </c>
      <c r="F32" s="18">
        <f>F7/F17</f>
        <v>0.77572853230576133</v>
      </c>
    </row>
    <row r="33" spans="1:6" ht="13.5" thickBot="1">
      <c r="A33" s="104" t="s">
        <v>324</v>
      </c>
      <c r="B33" s="112">
        <f t="shared" si="1"/>
        <v>0.77264381087144796</v>
      </c>
      <c r="C33" s="112">
        <f t="shared" si="1"/>
        <v>0.77152601413177924</v>
      </c>
      <c r="D33" s="112">
        <f t="shared" si="1"/>
        <v>0.80880614084163394</v>
      </c>
      <c r="E33" s="113">
        <f t="shared" si="1"/>
        <v>0.77195934333046756</v>
      </c>
      <c r="F33" s="114">
        <f>F8/F18</f>
        <v>0.81245966345877518</v>
      </c>
    </row>
    <row r="35" spans="1:6">
      <c r="A35" s="363" t="s">
        <v>482</v>
      </c>
      <c r="B35" s="363"/>
      <c r="C35" s="363"/>
      <c r="D35" s="363"/>
    </row>
    <row r="36" spans="1:6">
      <c r="A36" s="361" t="s">
        <v>114</v>
      </c>
      <c r="B36" s="361"/>
      <c r="C36" s="361"/>
      <c r="D36" s="361"/>
      <c r="E36" s="361"/>
      <c r="F36" s="361"/>
    </row>
    <row r="37" spans="1:6" ht="25.5" customHeight="1">
      <c r="A37" s="361" t="s">
        <v>564</v>
      </c>
      <c r="B37" s="361"/>
      <c r="C37" s="361"/>
      <c r="D37" s="361"/>
      <c r="E37" s="361"/>
      <c r="F37" s="361"/>
    </row>
    <row r="38" spans="1:6">
      <c r="A38" s="362" t="s">
        <v>773</v>
      </c>
      <c r="B38" s="362"/>
      <c r="C38" s="362"/>
      <c r="D38" s="362"/>
      <c r="E38" s="362"/>
      <c r="F38" s="362"/>
    </row>
    <row r="39" spans="1:6" ht="25.5" customHeight="1">
      <c r="A39" s="361" t="s">
        <v>242</v>
      </c>
      <c r="B39" s="361"/>
      <c r="C39" s="361"/>
      <c r="D39" s="361"/>
      <c r="E39" s="361"/>
      <c r="F39" s="361"/>
    </row>
    <row r="40" spans="1:6" ht="25.5" customHeight="1">
      <c r="A40" s="361" t="s">
        <v>243</v>
      </c>
      <c r="B40" s="361"/>
      <c r="C40" s="361"/>
      <c r="D40" s="361"/>
      <c r="E40" s="361"/>
      <c r="F40" s="361"/>
    </row>
    <row r="41" spans="1:6" ht="24.75" customHeight="1">
      <c r="A41" s="361" t="s">
        <v>565</v>
      </c>
      <c r="B41" s="361"/>
      <c r="C41" s="361"/>
      <c r="D41" s="361"/>
      <c r="E41" s="361"/>
      <c r="F41" s="361"/>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mergeCells count="9">
    <mergeCell ref="A1:F1"/>
    <mergeCell ref="A23:F23"/>
    <mergeCell ref="A41:F41"/>
    <mergeCell ref="A36:F36"/>
    <mergeCell ref="A37:F37"/>
    <mergeCell ref="A38:F38"/>
    <mergeCell ref="A39:F39"/>
    <mergeCell ref="A40:F40"/>
    <mergeCell ref="A35:D35"/>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E34" sqref="E34"/>
    </sheetView>
  </sheetViews>
  <sheetFormatPr baseColWidth="10" defaultRowHeight="12.75"/>
  <sheetData>
    <row r="3" spans="1:1" ht="15">
      <c r="A3" s="90" t="s">
        <v>653</v>
      </c>
    </row>
  </sheetData>
  <pageMargins left="0.7" right="0.7" top="0.78740157499999996" bottom="0.78740157499999996"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46"/>
  <sheetViews>
    <sheetView zoomScaleNormal="100" workbookViewId="0">
      <selection sqref="A1:H1"/>
    </sheetView>
  </sheetViews>
  <sheetFormatPr baseColWidth="10" defaultRowHeight="12.75"/>
  <cols>
    <col min="1" max="1" width="28.28515625" style="35" customWidth="1"/>
    <col min="2" max="8" width="7.85546875" style="35" customWidth="1"/>
    <col min="9" max="16384" width="11.42578125" style="35"/>
  </cols>
  <sheetData>
    <row r="1" spans="1:8" ht="15">
      <c r="A1" s="366" t="s">
        <v>305</v>
      </c>
      <c r="B1" s="366"/>
      <c r="C1" s="366"/>
      <c r="D1" s="366"/>
      <c r="E1" s="366"/>
      <c r="F1" s="366"/>
      <c r="G1" s="366"/>
      <c r="H1" s="366"/>
    </row>
    <row r="2" spans="1:8">
      <c r="A2" s="381" t="s">
        <v>750</v>
      </c>
      <c r="B2" s="381"/>
      <c r="C2" s="381"/>
      <c r="D2" s="381"/>
      <c r="H2" s="36" t="s">
        <v>154</v>
      </c>
    </row>
    <row r="4" spans="1:8" ht="13.5" thickBot="1"/>
    <row r="5" spans="1:8">
      <c r="A5" s="219" t="s">
        <v>225</v>
      </c>
      <c r="B5" s="220">
        <v>50000</v>
      </c>
      <c r="C5" s="220">
        <v>60000</v>
      </c>
      <c r="D5" s="220">
        <v>70000</v>
      </c>
      <c r="E5" s="220">
        <v>80000</v>
      </c>
      <c r="F5" s="220">
        <v>100000</v>
      </c>
      <c r="G5" s="220">
        <v>150000</v>
      </c>
      <c r="H5" s="220">
        <v>200000</v>
      </c>
    </row>
    <row r="6" spans="1:8">
      <c r="A6" s="123"/>
      <c r="B6" s="221"/>
      <c r="C6" s="221"/>
      <c r="D6" s="221"/>
      <c r="E6" s="221"/>
      <c r="F6" s="221"/>
      <c r="G6" s="221"/>
      <c r="H6" s="222"/>
    </row>
    <row r="7" spans="1:8">
      <c r="A7" s="123" t="s">
        <v>135</v>
      </c>
      <c r="B7" s="223">
        <v>1543.3599999999997</v>
      </c>
      <c r="C7" s="223">
        <v>2404.48</v>
      </c>
      <c r="D7" s="223">
        <v>3313.4400000000005</v>
      </c>
      <c r="E7" s="223">
        <v>4223.4400000000005</v>
      </c>
      <c r="F7" s="223">
        <v>6350.5</v>
      </c>
      <c r="G7" s="223">
        <v>12717.64</v>
      </c>
      <c r="H7" s="223">
        <v>20219.940000000002</v>
      </c>
    </row>
    <row r="8" spans="1:8" ht="13.5" thickBot="1">
      <c r="A8" s="185" t="s">
        <v>136</v>
      </c>
      <c r="B8" s="224">
        <v>3.0867199999999994E-2</v>
      </c>
      <c r="C8" s="224">
        <v>4.0074666666666668E-2</v>
      </c>
      <c r="D8" s="224">
        <v>4.7334857142857151E-2</v>
      </c>
      <c r="E8" s="224">
        <v>5.2793000000000007E-2</v>
      </c>
      <c r="F8" s="224">
        <v>6.3505000000000006E-2</v>
      </c>
      <c r="G8" s="224">
        <v>8.4784266666666663E-2</v>
      </c>
      <c r="H8" s="224">
        <v>0.10109970000000001</v>
      </c>
    </row>
    <row r="9" spans="1:8">
      <c r="A9" s="28"/>
      <c r="B9" s="63"/>
      <c r="C9" s="63"/>
      <c r="D9" s="63"/>
      <c r="E9" s="63"/>
      <c r="F9" s="63"/>
      <c r="G9" s="63"/>
      <c r="H9" s="63"/>
    </row>
    <row r="10" spans="1:8">
      <c r="A10" s="28"/>
      <c r="B10" s="63"/>
      <c r="C10" s="63"/>
      <c r="D10" s="63"/>
      <c r="E10" s="63"/>
      <c r="F10" s="63"/>
      <c r="G10" s="63"/>
      <c r="H10" s="63"/>
    </row>
    <row r="11" spans="1:8">
      <c r="A11" s="28"/>
      <c r="B11" s="63"/>
      <c r="C11" s="63"/>
      <c r="D11" s="63"/>
      <c r="E11" s="63"/>
      <c r="F11" s="63"/>
      <c r="G11" s="63"/>
      <c r="H11" s="85"/>
    </row>
    <row r="12" spans="1:8">
      <c r="A12" s="28"/>
      <c r="B12" s="63"/>
      <c r="C12" s="63"/>
      <c r="D12" s="63"/>
      <c r="E12" s="63"/>
      <c r="F12" s="63"/>
      <c r="G12" s="63"/>
      <c r="H12" s="63"/>
    </row>
    <row r="13" spans="1:8" ht="15">
      <c r="A13" s="367" t="s">
        <v>306</v>
      </c>
      <c r="B13" s="367"/>
      <c r="C13" s="367"/>
      <c r="D13" s="367"/>
      <c r="E13" s="367"/>
      <c r="F13" s="367"/>
      <c r="G13" s="367"/>
      <c r="H13" s="367"/>
    </row>
    <row r="14" spans="1:8">
      <c r="A14" s="28" t="s">
        <v>751</v>
      </c>
      <c r="B14" s="28"/>
      <c r="C14" s="28"/>
      <c r="D14" s="28"/>
      <c r="E14" s="28"/>
      <c r="F14" s="28"/>
      <c r="G14" s="28"/>
      <c r="H14" s="37" t="s">
        <v>155</v>
      </c>
    </row>
    <row r="15" spans="1:8">
      <c r="A15" s="28"/>
      <c r="B15" s="63"/>
      <c r="C15" s="63"/>
      <c r="D15" s="63"/>
      <c r="E15" s="63"/>
      <c r="F15" s="63"/>
      <c r="G15" s="63"/>
      <c r="H15" s="85"/>
    </row>
    <row r="16" spans="1:8" ht="13.5" thickBot="1">
      <c r="A16" s="28"/>
      <c r="B16" s="63"/>
      <c r="C16" s="63"/>
      <c r="D16" s="63"/>
      <c r="E16" s="63"/>
      <c r="F16" s="63"/>
      <c r="G16" s="63"/>
      <c r="H16" s="63"/>
    </row>
    <row r="17" spans="1:11">
      <c r="A17" s="219" t="s">
        <v>146</v>
      </c>
      <c r="B17" s="351">
        <v>50000</v>
      </c>
      <c r="C17" s="351">
        <v>60000</v>
      </c>
      <c r="D17" s="351">
        <v>70000</v>
      </c>
      <c r="E17" s="351">
        <v>80000</v>
      </c>
      <c r="F17" s="351">
        <v>100000</v>
      </c>
      <c r="G17" s="351">
        <v>150000</v>
      </c>
      <c r="H17" s="351">
        <v>200000</v>
      </c>
    </row>
    <row r="18" spans="1:11">
      <c r="A18" s="123"/>
      <c r="B18" s="352"/>
      <c r="C18" s="352"/>
      <c r="D18" s="352"/>
      <c r="E18" s="352"/>
      <c r="F18" s="352"/>
      <c r="G18" s="352"/>
      <c r="H18" s="352"/>
    </row>
    <row r="19" spans="1:11">
      <c r="A19" s="123" t="s">
        <v>139</v>
      </c>
      <c r="B19" s="352"/>
      <c r="C19" s="352"/>
      <c r="D19" s="352"/>
      <c r="E19" s="352"/>
      <c r="F19" s="352"/>
      <c r="G19" s="352"/>
      <c r="H19" s="352"/>
    </row>
    <row r="20" spans="1:11">
      <c r="A20" s="123" t="s">
        <v>339</v>
      </c>
      <c r="B20" s="352">
        <v>3275</v>
      </c>
      <c r="C20" s="352">
        <v>3930</v>
      </c>
      <c r="D20" s="352">
        <v>4585</v>
      </c>
      <c r="E20" s="352">
        <v>5240</v>
      </c>
      <c r="F20" s="352">
        <v>6550</v>
      </c>
      <c r="G20" s="352">
        <v>9705</v>
      </c>
      <c r="H20" s="352">
        <v>12730</v>
      </c>
    </row>
    <row r="21" spans="1:11">
      <c r="A21" s="123" t="s">
        <v>148</v>
      </c>
      <c r="B21" s="352">
        <v>3000</v>
      </c>
      <c r="C21" s="352">
        <v>3600</v>
      </c>
      <c r="D21" s="352">
        <v>4200</v>
      </c>
      <c r="E21" s="352">
        <v>4800</v>
      </c>
      <c r="F21" s="352">
        <v>6000</v>
      </c>
      <c r="G21" s="352">
        <v>9000</v>
      </c>
      <c r="H21" s="352">
        <v>12000</v>
      </c>
    </row>
    <row r="22" spans="1:11">
      <c r="A22" s="123" t="s">
        <v>94</v>
      </c>
      <c r="B22" s="352">
        <v>3500</v>
      </c>
      <c r="C22" s="352">
        <v>3500</v>
      </c>
      <c r="D22" s="352">
        <v>3500</v>
      </c>
      <c r="E22" s="352">
        <v>3500</v>
      </c>
      <c r="F22" s="352">
        <v>3500</v>
      </c>
      <c r="G22" s="352">
        <v>3500</v>
      </c>
      <c r="H22" s="352">
        <v>3500</v>
      </c>
    </row>
    <row r="23" spans="1:11" s="350" customFormat="1">
      <c r="A23" s="123" t="s">
        <v>228</v>
      </c>
      <c r="B23" s="352">
        <v>0</v>
      </c>
      <c r="C23" s="352">
        <v>0</v>
      </c>
      <c r="D23" s="352">
        <v>0</v>
      </c>
      <c r="E23" s="352">
        <v>0</v>
      </c>
      <c r="F23" s="352">
        <v>0</v>
      </c>
      <c r="G23" s="352">
        <v>0</v>
      </c>
      <c r="H23" s="352">
        <v>0</v>
      </c>
    </row>
    <row r="24" spans="1:11">
      <c r="A24" s="123" t="s">
        <v>140</v>
      </c>
      <c r="B24" s="352">
        <v>300</v>
      </c>
      <c r="C24" s="352">
        <v>300</v>
      </c>
      <c r="D24" s="352">
        <v>300</v>
      </c>
      <c r="E24" s="352">
        <v>300</v>
      </c>
      <c r="F24" s="352">
        <v>300</v>
      </c>
      <c r="G24" s="352">
        <v>300</v>
      </c>
      <c r="H24" s="352">
        <v>300</v>
      </c>
    </row>
    <row r="25" spans="1:11">
      <c r="A25" s="123" t="s">
        <v>142</v>
      </c>
      <c r="B25" s="352">
        <v>1500</v>
      </c>
      <c r="C25" s="352">
        <v>1500</v>
      </c>
      <c r="D25" s="352">
        <v>1500</v>
      </c>
      <c r="E25" s="352">
        <v>1500</v>
      </c>
      <c r="F25" s="352">
        <v>1500</v>
      </c>
      <c r="G25" s="352">
        <v>1500</v>
      </c>
      <c r="H25" s="352">
        <v>1500</v>
      </c>
    </row>
    <row r="26" spans="1:11">
      <c r="A26" s="123" t="s">
        <v>143</v>
      </c>
      <c r="B26" s="352">
        <v>300</v>
      </c>
      <c r="C26" s="352">
        <v>300</v>
      </c>
      <c r="D26" s="352">
        <v>300</v>
      </c>
      <c r="E26" s="352">
        <v>300</v>
      </c>
      <c r="F26" s="352">
        <v>300</v>
      </c>
      <c r="G26" s="352">
        <v>300</v>
      </c>
      <c r="H26" s="352">
        <v>300</v>
      </c>
    </row>
    <row r="27" spans="1:11">
      <c r="A27" s="123" t="s">
        <v>145</v>
      </c>
      <c r="B27" s="352">
        <f>SUM(B20:B26)</f>
        <v>11875</v>
      </c>
      <c r="C27" s="352">
        <f t="shared" ref="C27:H27" si="0">SUM(C20:C26)</f>
        <v>13130</v>
      </c>
      <c r="D27" s="352">
        <f t="shared" si="0"/>
        <v>14385</v>
      </c>
      <c r="E27" s="352">
        <f t="shared" si="0"/>
        <v>15640</v>
      </c>
      <c r="F27" s="352">
        <f t="shared" si="0"/>
        <v>18150</v>
      </c>
      <c r="G27" s="352">
        <f t="shared" si="0"/>
        <v>24305</v>
      </c>
      <c r="H27" s="352">
        <f t="shared" si="0"/>
        <v>30330</v>
      </c>
    </row>
    <row r="28" spans="1:11">
      <c r="A28" s="123"/>
      <c r="B28" s="352"/>
      <c r="C28" s="352"/>
      <c r="D28" s="352"/>
      <c r="E28" s="352"/>
      <c r="F28" s="352"/>
      <c r="G28" s="352"/>
      <c r="H28" s="352"/>
    </row>
    <row r="29" spans="1:11">
      <c r="A29" s="123" t="s">
        <v>340</v>
      </c>
      <c r="B29" s="352">
        <f>B17-B27</f>
        <v>38125</v>
      </c>
      <c r="C29" s="352">
        <f t="shared" ref="C29:H29" si="1">C17-C27</f>
        <v>46870</v>
      </c>
      <c r="D29" s="352">
        <f t="shared" si="1"/>
        <v>55615</v>
      </c>
      <c r="E29" s="352">
        <f t="shared" si="1"/>
        <v>64360</v>
      </c>
      <c r="F29" s="352">
        <f t="shared" si="1"/>
        <v>81850</v>
      </c>
      <c r="G29" s="352">
        <f t="shared" si="1"/>
        <v>125695</v>
      </c>
      <c r="H29" s="352">
        <f t="shared" si="1"/>
        <v>169670</v>
      </c>
    </row>
    <row r="30" spans="1:11">
      <c r="A30" s="123"/>
      <c r="B30" s="221"/>
      <c r="C30" s="221"/>
      <c r="D30" s="221"/>
      <c r="E30" s="221"/>
      <c r="F30" s="221"/>
      <c r="G30" s="221"/>
      <c r="H30" s="221"/>
    </row>
    <row r="31" spans="1:11">
      <c r="A31" s="123" t="s">
        <v>226</v>
      </c>
      <c r="B31" s="355">
        <f t="shared" ref="B31:F31" si="2">IF(B29&lt;15000,0,IF(B29&lt;20000,0.01,IF(B29&lt;40000,0.03,IF(B29&lt;70000,0.04,IF(B29&lt;100000,0.05,IF(B29&lt;130000,0.06,IF(B29&lt;160000,0.065,IF(B29&lt;200000,0.07,0.08))))))))</f>
        <v>0.03</v>
      </c>
      <c r="C31" s="355">
        <f t="shared" si="2"/>
        <v>0.04</v>
      </c>
      <c r="D31" s="355">
        <f t="shared" si="2"/>
        <v>0.04</v>
      </c>
      <c r="E31" s="355">
        <f t="shared" si="2"/>
        <v>0.04</v>
      </c>
      <c r="F31" s="355">
        <f t="shared" si="2"/>
        <v>0.05</v>
      </c>
      <c r="G31" s="355">
        <f t="shared" ref="G31:H31" si="3">IF(G29&lt;15000,0,IF(G29&lt;20000,0.01,IF(G29&lt;40000,0.03,IF(G29&lt;70000,0.04,IF(G29&lt;100000,0.05,IF(G29&lt;130000,0.06,IF(G29&lt;160000,0.065,IF(G29&lt;200000,0.07,0.08))))))))</f>
        <v>0.06</v>
      </c>
      <c r="H31" s="355">
        <f t="shared" si="3"/>
        <v>7.0000000000000007E-2</v>
      </c>
      <c r="I31" s="355"/>
      <c r="J31" s="355"/>
      <c r="K31" s="355"/>
    </row>
    <row r="32" spans="1:11">
      <c r="A32" s="123" t="s">
        <v>227</v>
      </c>
      <c r="B32" s="223">
        <f>B29*B31</f>
        <v>1143.75</v>
      </c>
      <c r="C32" s="223">
        <f t="shared" ref="C32:H32" si="4">C29*C31</f>
        <v>1874.8</v>
      </c>
      <c r="D32" s="223">
        <f t="shared" si="4"/>
        <v>2224.6</v>
      </c>
      <c r="E32" s="223">
        <f t="shared" si="4"/>
        <v>2574.4</v>
      </c>
      <c r="F32" s="223">
        <f t="shared" si="4"/>
        <v>4092.5</v>
      </c>
      <c r="G32" s="223">
        <f t="shared" si="4"/>
        <v>7541.7</v>
      </c>
      <c r="H32" s="223">
        <f t="shared" si="4"/>
        <v>11876.900000000001</v>
      </c>
    </row>
    <row r="33" spans="1:8">
      <c r="A33" s="123" t="s">
        <v>81</v>
      </c>
      <c r="B33" s="223">
        <f t="shared" ref="B33:H33" si="5">IF(B29&lt;15000,0,IF(B29&lt;20000,150,IF(B29&lt;40000,550,IF(B29&lt;70000,950,IF(B29&lt;100000,1650,IF(B29&lt;130000,2650,IF(B29&lt;160000,3300,IF(B29&lt;200000,4100,6100))))))))</f>
        <v>550</v>
      </c>
      <c r="C33" s="223">
        <f t="shared" si="5"/>
        <v>950</v>
      </c>
      <c r="D33" s="223">
        <f t="shared" si="5"/>
        <v>950</v>
      </c>
      <c r="E33" s="223">
        <f t="shared" si="5"/>
        <v>950</v>
      </c>
      <c r="F33" s="223">
        <f t="shared" si="5"/>
        <v>1650</v>
      </c>
      <c r="G33" s="223">
        <f t="shared" si="5"/>
        <v>2650</v>
      </c>
      <c r="H33" s="223">
        <f t="shared" si="5"/>
        <v>4100</v>
      </c>
    </row>
    <row r="34" spans="1:8">
      <c r="A34" s="123"/>
      <c r="B34" s="223"/>
      <c r="C34" s="223"/>
      <c r="D34" s="223"/>
      <c r="E34" s="223"/>
      <c r="F34" s="223"/>
      <c r="G34" s="223"/>
      <c r="H34" s="223"/>
    </row>
    <row r="35" spans="1:8">
      <c r="A35" s="123" t="s">
        <v>147</v>
      </c>
      <c r="B35" s="223">
        <f>B32-B33</f>
        <v>593.75</v>
      </c>
      <c r="C35" s="223">
        <f t="shared" ref="C35:H35" si="6">C32-C33</f>
        <v>924.8</v>
      </c>
      <c r="D35" s="223">
        <f t="shared" si="6"/>
        <v>1274.5999999999999</v>
      </c>
      <c r="E35" s="223">
        <f t="shared" si="6"/>
        <v>1624.4</v>
      </c>
      <c r="F35" s="223">
        <f>F32-F33</f>
        <v>2442.5</v>
      </c>
      <c r="G35" s="223">
        <f t="shared" si="6"/>
        <v>4891.7</v>
      </c>
      <c r="H35" s="223">
        <f t="shared" si="6"/>
        <v>7776.9000000000015</v>
      </c>
    </row>
    <row r="36" spans="1:8">
      <c r="A36" s="123" t="s">
        <v>153</v>
      </c>
      <c r="B36" s="223">
        <f>B35*1.6</f>
        <v>950</v>
      </c>
      <c r="C36" s="223">
        <f t="shared" ref="C36:H36" si="7">C35*1.6</f>
        <v>1479.68</v>
      </c>
      <c r="D36" s="223">
        <f t="shared" si="7"/>
        <v>2039.36</v>
      </c>
      <c r="E36" s="223">
        <f t="shared" si="7"/>
        <v>2599.0400000000004</v>
      </c>
      <c r="F36" s="223">
        <f t="shared" si="7"/>
        <v>3908</v>
      </c>
      <c r="G36" s="223">
        <f t="shared" si="7"/>
        <v>7826.72</v>
      </c>
      <c r="H36" s="223">
        <f t="shared" si="7"/>
        <v>12443.040000000003</v>
      </c>
    </row>
    <row r="37" spans="1:8" ht="13.5" thickBot="1">
      <c r="A37" s="185" t="s">
        <v>144</v>
      </c>
      <c r="B37" s="226">
        <f>B35+B36</f>
        <v>1543.75</v>
      </c>
      <c r="C37" s="226">
        <f t="shared" ref="C37:H37" si="8">C35+C36</f>
        <v>2404.48</v>
      </c>
      <c r="D37" s="226">
        <f t="shared" si="8"/>
        <v>3313.96</v>
      </c>
      <c r="E37" s="226">
        <f t="shared" si="8"/>
        <v>4223.4400000000005</v>
      </c>
      <c r="F37" s="226">
        <f t="shared" si="8"/>
        <v>6350.5</v>
      </c>
      <c r="G37" s="226">
        <f t="shared" si="8"/>
        <v>12718.42</v>
      </c>
      <c r="H37" s="226">
        <f t="shared" si="8"/>
        <v>20219.940000000002</v>
      </c>
    </row>
    <row r="38" spans="1:8">
      <c r="A38" s="28"/>
      <c r="B38" s="28"/>
      <c r="C38" s="28"/>
      <c r="D38" s="28"/>
      <c r="E38" s="28"/>
      <c r="F38" s="28"/>
      <c r="G38" s="28"/>
      <c r="H38" s="28"/>
    </row>
    <row r="39" spans="1:8">
      <c r="A39" s="368" t="s">
        <v>482</v>
      </c>
      <c r="B39" s="368"/>
      <c r="C39" s="368"/>
      <c r="D39" s="368"/>
    </row>
    <row r="40" spans="1:8" s="64" customFormat="1" ht="27.75" customHeight="1">
      <c r="A40" s="372" t="s">
        <v>281</v>
      </c>
      <c r="B40" s="372"/>
      <c r="C40" s="372"/>
      <c r="D40" s="372"/>
      <c r="E40" s="372"/>
      <c r="F40" s="372"/>
      <c r="G40" s="372"/>
      <c r="H40" s="372"/>
    </row>
    <row r="41" spans="1:8" s="64" customFormat="1" ht="12.75" customHeight="1">
      <c r="A41" s="362" t="s">
        <v>111</v>
      </c>
      <c r="B41" s="362"/>
      <c r="C41" s="362"/>
      <c r="D41" s="362"/>
      <c r="E41" s="362"/>
      <c r="F41" s="362"/>
      <c r="G41" s="362"/>
      <c r="H41" s="362"/>
    </row>
    <row r="42" spans="1:8" s="64" customFormat="1" ht="39" customHeight="1">
      <c r="A42" s="362" t="s">
        <v>261</v>
      </c>
      <c r="B42" s="362"/>
      <c r="C42" s="362"/>
      <c r="D42" s="362"/>
      <c r="E42" s="362"/>
      <c r="F42" s="362"/>
      <c r="G42" s="362"/>
      <c r="H42" s="362"/>
    </row>
    <row r="43" spans="1:8" s="64" customFormat="1" ht="25.5" customHeight="1">
      <c r="A43" s="362" t="s">
        <v>262</v>
      </c>
      <c r="B43" s="362"/>
      <c r="C43" s="362"/>
      <c r="D43" s="362"/>
      <c r="E43" s="362"/>
      <c r="F43" s="362"/>
      <c r="G43" s="362"/>
      <c r="H43" s="362"/>
    </row>
    <row r="45" spans="1:8">
      <c r="A45" s="38" t="s">
        <v>184</v>
      </c>
    </row>
    <row r="46" spans="1:8">
      <c r="A46" s="35" t="s">
        <v>197</v>
      </c>
    </row>
  </sheetData>
  <mergeCells count="8">
    <mergeCell ref="A42:H42"/>
    <mergeCell ref="A43:H43"/>
    <mergeCell ref="A1:H1"/>
    <mergeCell ref="A2:D2"/>
    <mergeCell ref="A13:H13"/>
    <mergeCell ref="A39:D39"/>
    <mergeCell ref="A40:H40"/>
    <mergeCell ref="A41:H4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6"/>
  <sheetViews>
    <sheetView zoomScaleNormal="100" workbookViewId="0">
      <selection sqref="A1:H1"/>
    </sheetView>
  </sheetViews>
  <sheetFormatPr baseColWidth="10" defaultRowHeight="12.75"/>
  <cols>
    <col min="1" max="1" width="28.28515625" style="5" customWidth="1"/>
    <col min="2" max="8" width="7.85546875" style="5" customWidth="1"/>
    <col min="9" max="9" width="30.5703125" style="5" customWidth="1"/>
    <col min="10" max="16384" width="11.42578125" style="5"/>
  </cols>
  <sheetData>
    <row r="1" spans="1:8" ht="15">
      <c r="A1" s="360" t="s">
        <v>314</v>
      </c>
      <c r="B1" s="360"/>
      <c r="C1" s="360"/>
      <c r="D1" s="360"/>
      <c r="E1" s="360"/>
      <c r="F1" s="360"/>
      <c r="G1" s="360"/>
      <c r="H1" s="360"/>
    </row>
    <row r="2" spans="1:8">
      <c r="A2" s="381" t="s">
        <v>750</v>
      </c>
      <c r="B2" s="381"/>
      <c r="C2" s="381"/>
      <c r="D2" s="381"/>
      <c r="H2" s="2" t="s">
        <v>156</v>
      </c>
    </row>
    <row r="3" spans="1:8">
      <c r="A3" s="35"/>
    </row>
    <row r="4" spans="1:8" ht="13.5" thickBot="1"/>
    <row r="5" spans="1:8">
      <c r="A5" s="227" t="s">
        <v>225</v>
      </c>
      <c r="B5" s="220">
        <v>50000</v>
      </c>
      <c r="C5" s="220">
        <v>60000</v>
      </c>
      <c r="D5" s="220">
        <v>70000</v>
      </c>
      <c r="E5" s="220">
        <v>80000</v>
      </c>
      <c r="F5" s="220">
        <v>100000</v>
      </c>
      <c r="G5" s="220">
        <v>150000</v>
      </c>
      <c r="H5" s="220">
        <v>200000</v>
      </c>
    </row>
    <row r="6" spans="1:8">
      <c r="A6" s="130"/>
      <c r="B6" s="223"/>
      <c r="C6" s="223"/>
      <c r="D6" s="223"/>
      <c r="E6" s="223"/>
      <c r="F6" s="223"/>
      <c r="G6" s="223"/>
      <c r="H6" s="228"/>
    </row>
    <row r="7" spans="1:8">
      <c r="A7" s="130" t="s">
        <v>135</v>
      </c>
      <c r="B7" s="223">
        <f>B37</f>
        <v>112.45</v>
      </c>
      <c r="C7" s="223">
        <f t="shared" ref="C7:H7" si="0">C37</f>
        <v>499.45999999999981</v>
      </c>
      <c r="D7" s="223">
        <f t="shared" si="0"/>
        <v>1181.5700000000002</v>
      </c>
      <c r="E7" s="223">
        <f t="shared" si="0"/>
        <v>1863.6799999999998</v>
      </c>
      <c r="F7" s="223">
        <f t="shared" si="0"/>
        <v>3227.9</v>
      </c>
      <c r="G7" s="223">
        <f t="shared" si="0"/>
        <v>7737.0800000000008</v>
      </c>
      <c r="H7" s="223">
        <f t="shared" si="0"/>
        <v>12983.1</v>
      </c>
    </row>
    <row r="8" spans="1:8" ht="13.5" thickBot="1">
      <c r="A8" s="229" t="s">
        <v>136</v>
      </c>
      <c r="B8" s="224">
        <f>B7/B5</f>
        <v>2.2490000000000001E-3</v>
      </c>
      <c r="C8" s="224">
        <f t="shared" ref="C8:H8" si="1">C7/C5</f>
        <v>8.3243333333333294E-3</v>
      </c>
      <c r="D8" s="224">
        <f t="shared" si="1"/>
        <v>1.6879571428571431E-2</v>
      </c>
      <c r="E8" s="224">
        <f t="shared" si="1"/>
        <v>2.3295999999999997E-2</v>
      </c>
      <c r="F8" s="224">
        <f t="shared" si="1"/>
        <v>3.2279000000000002E-2</v>
      </c>
      <c r="G8" s="224">
        <f t="shared" si="1"/>
        <v>5.1580533333333338E-2</v>
      </c>
      <c r="H8" s="224">
        <f t="shared" si="1"/>
        <v>6.4915500000000001E-2</v>
      </c>
    </row>
    <row r="9" spans="1:8">
      <c r="A9" s="26"/>
      <c r="B9" s="63"/>
      <c r="C9" s="63"/>
      <c r="D9" s="63"/>
      <c r="E9" s="63"/>
      <c r="F9" s="63"/>
      <c r="G9" s="63"/>
      <c r="H9" s="63"/>
    </row>
    <row r="10" spans="1:8">
      <c r="A10" s="26"/>
      <c r="B10" s="63"/>
      <c r="C10" s="63"/>
      <c r="D10" s="63"/>
      <c r="E10" s="63"/>
      <c r="F10" s="63"/>
      <c r="G10" s="63"/>
      <c r="H10" s="63"/>
    </row>
    <row r="11" spans="1:8">
      <c r="A11" s="26"/>
      <c r="B11" s="63"/>
      <c r="C11" s="63"/>
      <c r="D11" s="63"/>
      <c r="E11" s="63"/>
      <c r="F11" s="63"/>
      <c r="G11" s="63"/>
      <c r="H11" s="85"/>
    </row>
    <row r="12" spans="1:8">
      <c r="A12" s="26"/>
      <c r="B12" s="63"/>
      <c r="C12" s="63"/>
      <c r="D12" s="63"/>
      <c r="E12" s="63"/>
      <c r="F12" s="63"/>
      <c r="G12" s="63"/>
      <c r="H12" s="63"/>
    </row>
    <row r="13" spans="1:8" ht="15">
      <c r="A13" s="365" t="s">
        <v>307</v>
      </c>
      <c r="B13" s="365"/>
      <c r="C13" s="365"/>
      <c r="D13" s="365"/>
      <c r="E13" s="365"/>
      <c r="F13" s="365"/>
      <c r="G13" s="365"/>
      <c r="H13" s="365"/>
    </row>
    <row r="14" spans="1:8">
      <c r="A14" s="28" t="s">
        <v>751</v>
      </c>
      <c r="B14" s="26"/>
      <c r="C14" s="26"/>
      <c r="D14" s="26"/>
      <c r="E14" s="26"/>
      <c r="F14" s="26"/>
      <c r="G14" s="26"/>
      <c r="H14" s="24" t="s">
        <v>157</v>
      </c>
    </row>
    <row r="15" spans="1:8">
      <c r="A15" s="26"/>
      <c r="B15" s="63"/>
      <c r="C15" s="63"/>
      <c r="D15" s="63"/>
      <c r="E15" s="63"/>
      <c r="F15" s="63"/>
      <c r="G15" s="63"/>
      <c r="H15" s="85"/>
    </row>
    <row r="16" spans="1:8" ht="13.5" thickBot="1">
      <c r="A16" s="26"/>
      <c r="B16" s="63"/>
      <c r="C16" s="63"/>
      <c r="D16" s="63"/>
      <c r="E16" s="63"/>
      <c r="F16" s="63"/>
      <c r="G16" s="63"/>
      <c r="H16" s="63"/>
    </row>
    <row r="17" spans="1:8">
      <c r="A17" s="227" t="s">
        <v>146</v>
      </c>
      <c r="B17" s="351">
        <v>50000</v>
      </c>
      <c r="C17" s="351">
        <v>60000</v>
      </c>
      <c r="D17" s="351">
        <v>70000</v>
      </c>
      <c r="E17" s="351">
        <v>80000</v>
      </c>
      <c r="F17" s="351">
        <v>100000</v>
      </c>
      <c r="G17" s="351">
        <v>150000</v>
      </c>
      <c r="H17" s="351">
        <v>200000</v>
      </c>
    </row>
    <row r="18" spans="1:8">
      <c r="A18" s="130"/>
      <c r="B18" s="352"/>
      <c r="C18" s="352"/>
      <c r="D18" s="352"/>
      <c r="E18" s="352"/>
      <c r="F18" s="352"/>
      <c r="G18" s="352"/>
      <c r="H18" s="352"/>
    </row>
    <row r="19" spans="1:8">
      <c r="A19" s="130" t="s">
        <v>139</v>
      </c>
      <c r="B19" s="352"/>
      <c r="C19" s="352"/>
      <c r="D19" s="352"/>
      <c r="E19" s="352"/>
      <c r="F19" s="352"/>
      <c r="G19" s="352"/>
      <c r="H19" s="352"/>
    </row>
    <row r="20" spans="1:8">
      <c r="A20" s="130" t="s">
        <v>339</v>
      </c>
      <c r="B20" s="352">
        <v>3275</v>
      </c>
      <c r="C20" s="352">
        <v>3930</v>
      </c>
      <c r="D20" s="352">
        <v>4585</v>
      </c>
      <c r="E20" s="352">
        <v>5240</v>
      </c>
      <c r="F20" s="352">
        <v>6550</v>
      </c>
      <c r="G20" s="352">
        <v>9705</v>
      </c>
      <c r="H20" s="352">
        <v>12730</v>
      </c>
    </row>
    <row r="21" spans="1:8">
      <c r="A21" s="130" t="s">
        <v>148</v>
      </c>
      <c r="B21" s="352">
        <v>3000</v>
      </c>
      <c r="C21" s="352">
        <v>3600</v>
      </c>
      <c r="D21" s="352">
        <v>4200</v>
      </c>
      <c r="E21" s="352">
        <v>4800</v>
      </c>
      <c r="F21" s="352">
        <v>6000</v>
      </c>
      <c r="G21" s="352">
        <v>9000</v>
      </c>
      <c r="H21" s="352">
        <v>12000</v>
      </c>
    </row>
    <row r="22" spans="1:8">
      <c r="A22" s="130" t="s">
        <v>94</v>
      </c>
      <c r="B22" s="352">
        <v>7000</v>
      </c>
      <c r="C22" s="352">
        <v>7000</v>
      </c>
      <c r="D22" s="352">
        <v>7000</v>
      </c>
      <c r="E22" s="352">
        <v>7000</v>
      </c>
      <c r="F22" s="352">
        <v>7000</v>
      </c>
      <c r="G22" s="352">
        <v>7000</v>
      </c>
      <c r="H22" s="352">
        <v>7000</v>
      </c>
    </row>
    <row r="23" spans="1:8">
      <c r="A23" s="130" t="s">
        <v>228</v>
      </c>
      <c r="B23" s="352">
        <v>0</v>
      </c>
      <c r="C23" s="352">
        <v>0</v>
      </c>
      <c r="D23" s="352">
        <v>0</v>
      </c>
      <c r="E23" s="352">
        <v>0</v>
      </c>
      <c r="F23" s="352">
        <v>0</v>
      </c>
      <c r="G23" s="352">
        <v>0</v>
      </c>
      <c r="H23" s="352">
        <v>0</v>
      </c>
    </row>
    <row r="24" spans="1:8">
      <c r="A24" s="130" t="s">
        <v>140</v>
      </c>
      <c r="B24" s="352">
        <v>600</v>
      </c>
      <c r="C24" s="352">
        <v>600</v>
      </c>
      <c r="D24" s="352">
        <v>600</v>
      </c>
      <c r="E24" s="352">
        <v>600</v>
      </c>
      <c r="F24" s="352">
        <v>600</v>
      </c>
      <c r="G24" s="352">
        <v>600</v>
      </c>
      <c r="H24" s="352">
        <v>600</v>
      </c>
    </row>
    <row r="25" spans="1:8">
      <c r="A25" s="130" t="s">
        <v>142</v>
      </c>
      <c r="B25" s="352">
        <v>1500</v>
      </c>
      <c r="C25" s="352">
        <v>1500</v>
      </c>
      <c r="D25" s="352">
        <v>1500</v>
      </c>
      <c r="E25" s="352">
        <v>1500</v>
      </c>
      <c r="F25" s="352">
        <v>1500</v>
      </c>
      <c r="G25" s="352">
        <v>1500</v>
      </c>
      <c r="H25" s="352">
        <v>1500</v>
      </c>
    </row>
    <row r="26" spans="1:8">
      <c r="A26" s="130" t="s">
        <v>143</v>
      </c>
      <c r="B26" s="352">
        <v>300</v>
      </c>
      <c r="C26" s="352">
        <v>300</v>
      </c>
      <c r="D26" s="352">
        <v>300</v>
      </c>
      <c r="E26" s="352">
        <v>300</v>
      </c>
      <c r="F26" s="352">
        <v>300</v>
      </c>
      <c r="G26" s="352">
        <v>300</v>
      </c>
      <c r="H26" s="352">
        <v>300</v>
      </c>
    </row>
    <row r="27" spans="1:8">
      <c r="A27" s="130" t="s">
        <v>145</v>
      </c>
      <c r="B27" s="352">
        <f>SUM(B20:B26)</f>
        <v>15675</v>
      </c>
      <c r="C27" s="352">
        <f t="shared" ref="C27:H27" si="2">SUM(C20:C26)</f>
        <v>16930</v>
      </c>
      <c r="D27" s="352">
        <f t="shared" si="2"/>
        <v>18185</v>
      </c>
      <c r="E27" s="352">
        <f t="shared" si="2"/>
        <v>19440</v>
      </c>
      <c r="F27" s="352">
        <f t="shared" si="2"/>
        <v>21950</v>
      </c>
      <c r="G27" s="352">
        <f t="shared" si="2"/>
        <v>28105</v>
      </c>
      <c r="H27" s="352">
        <f t="shared" si="2"/>
        <v>34130</v>
      </c>
    </row>
    <row r="28" spans="1:8">
      <c r="A28" s="130"/>
      <c r="B28" s="352"/>
      <c r="C28" s="352"/>
      <c r="D28" s="352"/>
      <c r="E28" s="352"/>
      <c r="F28" s="352"/>
      <c r="G28" s="352"/>
      <c r="H28" s="352"/>
    </row>
    <row r="29" spans="1:8">
      <c r="A29" s="130" t="s">
        <v>340</v>
      </c>
      <c r="B29" s="352">
        <f>B17-B27</f>
        <v>34325</v>
      </c>
      <c r="C29" s="352">
        <f t="shared" ref="C29:H29" si="3">C17-C27</f>
        <v>43070</v>
      </c>
      <c r="D29" s="352">
        <f t="shared" si="3"/>
        <v>51815</v>
      </c>
      <c r="E29" s="352">
        <f t="shared" si="3"/>
        <v>60560</v>
      </c>
      <c r="F29" s="352">
        <f t="shared" si="3"/>
        <v>78050</v>
      </c>
      <c r="G29" s="352">
        <f t="shared" si="3"/>
        <v>121895</v>
      </c>
      <c r="H29" s="352">
        <f t="shared" si="3"/>
        <v>165870</v>
      </c>
    </row>
    <row r="30" spans="1:8">
      <c r="A30" s="130"/>
      <c r="B30" s="221"/>
      <c r="C30" s="221"/>
      <c r="D30" s="221"/>
      <c r="E30" s="221"/>
      <c r="F30" s="221"/>
      <c r="G30" s="221"/>
      <c r="H30" s="221"/>
    </row>
    <row r="31" spans="1:8">
      <c r="A31" s="130" t="s">
        <v>226</v>
      </c>
      <c r="B31" s="225">
        <f>IF(B29&lt;30000,0,IF(B29&lt;40000,0.01,IF(B29&lt;80000,0.03,IF(B29&lt;140000,0.04,IF(B29&lt;200000,0.05,IF(B29&lt;260000,0.06,IF(B29&lt;320000,0.065,IF(B29&lt;400000,0.07,0.08))))))))</f>
        <v>0.01</v>
      </c>
      <c r="C31" s="225">
        <f>IF(C29&lt;30000,0,IF(C29&lt;40000,0.01,IF(C29&lt;80000,0.03,IF(C29&lt;140000,0.04,IF(C29&lt;200000,0.05,IF(C29&lt;260000,0.06,IF(C29&lt;320000,0.065,IF(C29&lt;400000,0.07,0.08))))))))</f>
        <v>0.03</v>
      </c>
      <c r="D31" s="225">
        <f t="shared" ref="D31:H31" si="4">IF(D29&lt;30000,0,IF(D29&lt;40000,0.01,IF(D29&lt;80000,0.03,IF(D29&lt;140000,0.04,IF(D29&lt;200000,0.05,IF(D29&lt;260000,0.06,IF(D29&lt;320000,0.065,IF(D29&lt;400000,0.07,0.08))))))))</f>
        <v>0.03</v>
      </c>
      <c r="E31" s="225">
        <f t="shared" si="4"/>
        <v>0.03</v>
      </c>
      <c r="F31" s="225">
        <f t="shared" si="4"/>
        <v>0.03</v>
      </c>
      <c r="G31" s="225">
        <f t="shared" si="4"/>
        <v>0.04</v>
      </c>
      <c r="H31" s="225">
        <f t="shared" si="4"/>
        <v>0.05</v>
      </c>
    </row>
    <row r="32" spans="1:8">
      <c r="A32" s="130" t="s">
        <v>227</v>
      </c>
      <c r="B32" s="223">
        <f>B29*B31</f>
        <v>343.25</v>
      </c>
      <c r="C32" s="223">
        <f t="shared" ref="C32:H32" si="5">C29*C31</f>
        <v>1292.0999999999999</v>
      </c>
      <c r="D32" s="223">
        <f t="shared" si="5"/>
        <v>1554.45</v>
      </c>
      <c r="E32" s="223">
        <f t="shared" si="5"/>
        <v>1816.8</v>
      </c>
      <c r="F32" s="223">
        <f t="shared" si="5"/>
        <v>2341.5</v>
      </c>
      <c r="G32" s="223">
        <f t="shared" si="5"/>
        <v>4875.8</v>
      </c>
      <c r="H32" s="223">
        <f t="shared" si="5"/>
        <v>8293.5</v>
      </c>
    </row>
    <row r="33" spans="1:8">
      <c r="A33" s="130" t="s">
        <v>81</v>
      </c>
      <c r="B33" s="223">
        <f t="shared" ref="B33:H33" si="6">IF(B29&lt;30000,0,IF(B29&lt;40000,300,IF(B29&lt;80000,1100,IF(B29&lt;140000,1900,IF(B29&lt;200000,3300,IF(B29&lt;260000,5300,IF(B29&lt;320000,6600,IF(B29&lt;400000,8200,12200))))))))</f>
        <v>300</v>
      </c>
      <c r="C33" s="223">
        <f t="shared" si="6"/>
        <v>1100</v>
      </c>
      <c r="D33" s="223">
        <f t="shared" si="6"/>
        <v>1100</v>
      </c>
      <c r="E33" s="223">
        <f t="shared" si="6"/>
        <v>1100</v>
      </c>
      <c r="F33" s="223">
        <f t="shared" si="6"/>
        <v>1100</v>
      </c>
      <c r="G33" s="223">
        <f t="shared" si="6"/>
        <v>1900</v>
      </c>
      <c r="H33" s="223">
        <f t="shared" si="6"/>
        <v>3300</v>
      </c>
    </row>
    <row r="34" spans="1:8">
      <c r="A34" s="130"/>
      <c r="B34" s="223"/>
      <c r="C34" s="223"/>
      <c r="D34" s="223"/>
      <c r="E34" s="223"/>
      <c r="F34" s="223"/>
      <c r="G34" s="223"/>
      <c r="H34" s="223"/>
    </row>
    <row r="35" spans="1:8">
      <c r="A35" s="130" t="s">
        <v>147</v>
      </c>
      <c r="B35" s="223">
        <f>B32-B33</f>
        <v>43.25</v>
      </c>
      <c r="C35" s="223">
        <f t="shared" ref="C35:H35" si="7">C32-C33</f>
        <v>192.09999999999991</v>
      </c>
      <c r="D35" s="223">
        <f t="shared" si="7"/>
        <v>454.45000000000005</v>
      </c>
      <c r="E35" s="223">
        <f t="shared" si="7"/>
        <v>716.8</v>
      </c>
      <c r="F35" s="223">
        <f t="shared" si="7"/>
        <v>1241.5</v>
      </c>
      <c r="G35" s="223">
        <f t="shared" si="7"/>
        <v>2975.8</v>
      </c>
      <c r="H35" s="223">
        <f t="shared" si="7"/>
        <v>4993.5</v>
      </c>
    </row>
    <row r="36" spans="1:8">
      <c r="A36" s="130" t="s">
        <v>153</v>
      </c>
      <c r="B36" s="223">
        <f>B35*1.6</f>
        <v>69.2</v>
      </c>
      <c r="C36" s="223">
        <f t="shared" ref="C36:H36" si="8">C35*1.6</f>
        <v>307.3599999999999</v>
      </c>
      <c r="D36" s="223">
        <f t="shared" si="8"/>
        <v>727.12000000000012</v>
      </c>
      <c r="E36" s="223">
        <f t="shared" si="8"/>
        <v>1146.8799999999999</v>
      </c>
      <c r="F36" s="223">
        <f t="shared" si="8"/>
        <v>1986.4</v>
      </c>
      <c r="G36" s="223">
        <f t="shared" si="8"/>
        <v>4761.2800000000007</v>
      </c>
      <c r="H36" s="223">
        <f t="shared" si="8"/>
        <v>7989.6</v>
      </c>
    </row>
    <row r="37" spans="1:8" ht="13.5" thickBot="1">
      <c r="A37" s="229" t="s">
        <v>144</v>
      </c>
      <c r="B37" s="226">
        <f>B35+B36</f>
        <v>112.45</v>
      </c>
      <c r="C37" s="226">
        <f t="shared" ref="C37:H37" si="9">C35+C36</f>
        <v>499.45999999999981</v>
      </c>
      <c r="D37" s="226">
        <f t="shared" si="9"/>
        <v>1181.5700000000002</v>
      </c>
      <c r="E37" s="226">
        <f t="shared" si="9"/>
        <v>1863.6799999999998</v>
      </c>
      <c r="F37" s="226">
        <f t="shared" si="9"/>
        <v>3227.9</v>
      </c>
      <c r="G37" s="226">
        <f t="shared" si="9"/>
        <v>7737.0800000000008</v>
      </c>
      <c r="H37" s="226">
        <f t="shared" si="9"/>
        <v>12983.1</v>
      </c>
    </row>
    <row r="38" spans="1:8">
      <c r="A38" s="26"/>
      <c r="B38" s="26"/>
      <c r="C38" s="26"/>
      <c r="D38" s="26"/>
      <c r="E38" s="26"/>
      <c r="F38" s="26"/>
      <c r="G38" s="26"/>
      <c r="H38" s="26"/>
    </row>
    <row r="39" spans="1:8">
      <c r="A39" s="363" t="s">
        <v>482</v>
      </c>
      <c r="B39" s="363"/>
      <c r="C39" s="363"/>
      <c r="D39" s="363"/>
      <c r="E39" s="26"/>
      <c r="F39" s="26"/>
      <c r="G39" s="26"/>
      <c r="H39" s="26"/>
    </row>
    <row r="40" spans="1:8" s="61" customFormat="1" ht="26.25" customHeight="1">
      <c r="A40" s="390" t="s">
        <v>283</v>
      </c>
      <c r="B40" s="390"/>
      <c r="C40" s="390"/>
      <c r="D40" s="390"/>
      <c r="E40" s="390"/>
      <c r="F40" s="390"/>
      <c r="G40" s="390"/>
      <c r="H40" s="390"/>
    </row>
    <row r="41" spans="1:8" s="61" customFormat="1" ht="12.75" customHeight="1">
      <c r="A41" s="390" t="s">
        <v>111</v>
      </c>
      <c r="B41" s="390"/>
      <c r="C41" s="390"/>
      <c r="D41" s="390"/>
      <c r="E41" s="390"/>
      <c r="F41" s="390"/>
      <c r="G41" s="390"/>
      <c r="H41" s="390"/>
    </row>
    <row r="42" spans="1:8" s="61" customFormat="1" ht="39" customHeight="1">
      <c r="A42" s="361" t="s">
        <v>261</v>
      </c>
      <c r="B42" s="361"/>
      <c r="C42" s="361"/>
      <c r="D42" s="361"/>
      <c r="E42" s="361"/>
      <c r="F42" s="361"/>
      <c r="G42" s="361"/>
      <c r="H42" s="361"/>
    </row>
    <row r="43" spans="1:8" s="61" customFormat="1" ht="25.5" customHeight="1">
      <c r="A43" s="361" t="s">
        <v>262</v>
      </c>
      <c r="B43" s="361"/>
      <c r="C43" s="361"/>
      <c r="D43" s="361"/>
      <c r="E43" s="361"/>
      <c r="F43" s="361"/>
      <c r="G43" s="361"/>
      <c r="H43" s="361"/>
    </row>
    <row r="45" spans="1:8">
      <c r="A45" s="1" t="s">
        <v>184</v>
      </c>
    </row>
    <row r="46" spans="1:8">
      <c r="A46" s="5" t="s">
        <v>197</v>
      </c>
    </row>
  </sheetData>
  <mergeCells count="8">
    <mergeCell ref="A42:H42"/>
    <mergeCell ref="A43:H43"/>
    <mergeCell ref="A1:H1"/>
    <mergeCell ref="A2:D2"/>
    <mergeCell ref="A13:H13"/>
    <mergeCell ref="A39:D39"/>
    <mergeCell ref="A40:H40"/>
    <mergeCell ref="A41:H4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6"/>
  <sheetViews>
    <sheetView zoomScaleNormal="100" workbookViewId="0">
      <selection sqref="A1:H1"/>
    </sheetView>
  </sheetViews>
  <sheetFormatPr baseColWidth="10" defaultRowHeight="12.75"/>
  <cols>
    <col min="1" max="1" width="28.28515625" style="35" customWidth="1"/>
    <col min="2" max="8" width="7.85546875" style="35" customWidth="1"/>
    <col min="9" max="9" width="29.28515625" style="35" customWidth="1"/>
    <col min="10" max="16384" width="11.42578125" style="35"/>
  </cols>
  <sheetData>
    <row r="1" spans="1:8" ht="15">
      <c r="A1" s="366" t="s">
        <v>308</v>
      </c>
      <c r="B1" s="366"/>
      <c r="C1" s="366"/>
      <c r="D1" s="366"/>
      <c r="E1" s="366"/>
      <c r="F1" s="366"/>
      <c r="G1" s="366"/>
      <c r="H1" s="366"/>
    </row>
    <row r="2" spans="1:8">
      <c r="A2" s="381" t="s">
        <v>750</v>
      </c>
      <c r="B2" s="381"/>
      <c r="C2" s="381"/>
      <c r="D2" s="381"/>
      <c r="H2" s="36" t="s">
        <v>158</v>
      </c>
    </row>
    <row r="4" spans="1:8" ht="13.5" thickBot="1"/>
    <row r="5" spans="1:8">
      <c r="A5" s="219" t="s">
        <v>225</v>
      </c>
      <c r="B5" s="351">
        <v>50000</v>
      </c>
      <c r="C5" s="351">
        <v>60000</v>
      </c>
      <c r="D5" s="351">
        <v>70000</v>
      </c>
      <c r="E5" s="351">
        <v>80000</v>
      </c>
      <c r="F5" s="351">
        <v>100000</v>
      </c>
      <c r="G5" s="351">
        <v>150000</v>
      </c>
      <c r="H5" s="351">
        <v>200000</v>
      </c>
    </row>
    <row r="6" spans="1:8">
      <c r="A6" s="123"/>
      <c r="B6" s="352"/>
      <c r="C6" s="352"/>
      <c r="D6" s="352"/>
      <c r="E6" s="352"/>
      <c r="F6" s="352"/>
      <c r="G6" s="352"/>
      <c r="H6" s="352"/>
    </row>
    <row r="7" spans="1:8">
      <c r="A7" s="123" t="s">
        <v>135</v>
      </c>
      <c r="B7" s="352">
        <v>0</v>
      </c>
      <c r="C7" s="352">
        <v>0</v>
      </c>
      <c r="D7" s="352">
        <v>0</v>
      </c>
      <c r="E7" s="352">
        <f>E37</f>
        <v>45.760000000000062</v>
      </c>
      <c r="F7" s="352">
        <f t="shared" ref="F7:G7" si="0">F37</f>
        <v>981.5</v>
      </c>
      <c r="G7" s="352">
        <f t="shared" si="0"/>
        <v>4741.880000000001</v>
      </c>
      <c r="H7" s="352">
        <f>H37</f>
        <v>9315.2800000000007</v>
      </c>
    </row>
    <row r="8" spans="1:8" ht="13.5" thickBot="1">
      <c r="A8" s="185" t="s">
        <v>136</v>
      </c>
      <c r="B8" s="358">
        <v>0</v>
      </c>
      <c r="C8" s="358">
        <v>0</v>
      </c>
      <c r="D8" s="358">
        <v>0</v>
      </c>
      <c r="E8" s="358">
        <f>E7/E5</f>
        <v>5.7200000000000078E-4</v>
      </c>
      <c r="F8" s="358">
        <f t="shared" ref="F8:H8" si="1">F7/F5</f>
        <v>9.8150000000000008E-3</v>
      </c>
      <c r="G8" s="358">
        <f t="shared" si="1"/>
        <v>3.1612533333333338E-2</v>
      </c>
      <c r="H8" s="358">
        <f t="shared" si="1"/>
        <v>4.6576400000000004E-2</v>
      </c>
    </row>
    <row r="9" spans="1:8">
      <c r="A9" s="28"/>
      <c r="B9" s="63"/>
      <c r="C9" s="63"/>
      <c r="D9" s="63"/>
      <c r="E9" s="63"/>
      <c r="F9" s="63"/>
      <c r="G9" s="63"/>
      <c r="H9" s="63"/>
    </row>
    <row r="10" spans="1:8">
      <c r="A10" s="28"/>
      <c r="B10" s="63"/>
      <c r="C10" s="63"/>
      <c r="D10" s="63"/>
      <c r="E10" s="63"/>
      <c r="F10" s="63"/>
      <c r="G10" s="63"/>
      <c r="H10" s="63"/>
    </row>
    <row r="11" spans="1:8">
      <c r="A11" s="28"/>
      <c r="B11" s="63"/>
      <c r="C11" s="63"/>
      <c r="D11" s="63"/>
      <c r="E11" s="63"/>
      <c r="F11" s="63"/>
      <c r="G11" s="63"/>
      <c r="H11" s="85"/>
    </row>
    <row r="12" spans="1:8">
      <c r="A12" s="28"/>
      <c r="B12" s="63"/>
      <c r="C12" s="63"/>
      <c r="D12" s="63"/>
      <c r="E12" s="63"/>
      <c r="F12" s="63"/>
      <c r="G12" s="63"/>
      <c r="H12" s="63"/>
    </row>
    <row r="13" spans="1:8" ht="15">
      <c r="A13" s="367" t="s">
        <v>309</v>
      </c>
      <c r="B13" s="367"/>
      <c r="C13" s="367"/>
      <c r="D13" s="367"/>
      <c r="E13" s="367"/>
      <c r="F13" s="367"/>
      <c r="G13" s="367"/>
      <c r="H13" s="367"/>
    </row>
    <row r="14" spans="1:8">
      <c r="A14" s="28" t="s">
        <v>751</v>
      </c>
      <c r="B14" s="28"/>
      <c r="C14" s="28"/>
      <c r="D14" s="28"/>
      <c r="E14" s="28"/>
      <c r="F14" s="28"/>
      <c r="G14" s="28"/>
      <c r="H14" s="37" t="s">
        <v>159</v>
      </c>
    </row>
    <row r="15" spans="1:8">
      <c r="A15" s="28"/>
      <c r="B15" s="28"/>
      <c r="C15" s="28"/>
      <c r="D15" s="28"/>
      <c r="E15" s="28"/>
      <c r="F15" s="28"/>
      <c r="G15" s="28"/>
      <c r="H15" s="28"/>
    </row>
    <row r="16" spans="1:8" ht="13.5" thickBot="1">
      <c r="A16" s="28"/>
      <c r="B16" s="63"/>
      <c r="C16" s="63"/>
      <c r="D16" s="63"/>
      <c r="E16" s="63"/>
      <c r="F16" s="63"/>
      <c r="G16" s="63"/>
      <c r="H16" s="85"/>
    </row>
    <row r="17" spans="1:8">
      <c r="A17" s="219" t="s">
        <v>146</v>
      </c>
      <c r="B17" s="220">
        <v>50000</v>
      </c>
      <c r="C17" s="220">
        <v>60000</v>
      </c>
      <c r="D17" s="220">
        <v>70000</v>
      </c>
      <c r="E17" s="220">
        <v>80000</v>
      </c>
      <c r="F17" s="220">
        <v>100000</v>
      </c>
      <c r="G17" s="220">
        <v>150000</v>
      </c>
      <c r="H17" s="220">
        <v>200000</v>
      </c>
    </row>
    <row r="18" spans="1:8">
      <c r="A18" s="123"/>
      <c r="B18" s="223"/>
      <c r="C18" s="223"/>
      <c r="D18" s="223"/>
      <c r="E18" s="223"/>
      <c r="F18" s="223"/>
      <c r="G18" s="223"/>
      <c r="H18" s="223"/>
    </row>
    <row r="19" spans="1:8">
      <c r="A19" s="123" t="s">
        <v>139</v>
      </c>
      <c r="B19" s="223"/>
      <c r="C19" s="223"/>
      <c r="D19" s="223"/>
      <c r="E19" s="223"/>
      <c r="F19" s="223"/>
      <c r="G19" s="223"/>
      <c r="H19" s="223"/>
    </row>
    <row r="20" spans="1:8">
      <c r="A20" s="123" t="s">
        <v>339</v>
      </c>
      <c r="B20" s="352">
        <v>3275</v>
      </c>
      <c r="C20" s="352">
        <v>3930</v>
      </c>
      <c r="D20" s="352">
        <v>4585</v>
      </c>
      <c r="E20" s="352">
        <v>5240</v>
      </c>
      <c r="F20" s="352">
        <v>6550</v>
      </c>
      <c r="G20" s="352">
        <v>9705</v>
      </c>
      <c r="H20" s="352">
        <v>12730</v>
      </c>
    </row>
    <row r="21" spans="1:8">
      <c r="A21" s="123" t="s">
        <v>148</v>
      </c>
      <c r="B21" s="352">
        <v>3000</v>
      </c>
      <c r="C21" s="352">
        <v>3600</v>
      </c>
      <c r="D21" s="352">
        <v>4200</v>
      </c>
      <c r="E21" s="352">
        <v>4800</v>
      </c>
      <c r="F21" s="352">
        <v>6000</v>
      </c>
      <c r="G21" s="352">
        <v>9000</v>
      </c>
      <c r="H21" s="352">
        <v>12000</v>
      </c>
    </row>
    <row r="22" spans="1:8">
      <c r="A22" s="123" t="s">
        <v>94</v>
      </c>
      <c r="B22" s="352">
        <v>11200</v>
      </c>
      <c r="C22" s="352">
        <v>11200</v>
      </c>
      <c r="D22" s="352">
        <v>11200</v>
      </c>
      <c r="E22" s="352">
        <v>11200</v>
      </c>
      <c r="F22" s="352">
        <v>11200</v>
      </c>
      <c r="G22" s="352">
        <v>11200</v>
      </c>
      <c r="H22" s="352">
        <v>11200</v>
      </c>
    </row>
    <row r="23" spans="1:8">
      <c r="A23" s="123" t="s">
        <v>228</v>
      </c>
      <c r="B23" s="352">
        <v>24000</v>
      </c>
      <c r="C23" s="352">
        <v>24000</v>
      </c>
      <c r="D23" s="352">
        <v>24000</v>
      </c>
      <c r="E23" s="352">
        <v>24000</v>
      </c>
      <c r="F23" s="352">
        <v>24000</v>
      </c>
      <c r="G23" s="352">
        <v>24000</v>
      </c>
      <c r="H23" s="352">
        <v>24000</v>
      </c>
    </row>
    <row r="24" spans="1:8">
      <c r="A24" s="123" t="s">
        <v>140</v>
      </c>
      <c r="B24" s="352">
        <v>1200</v>
      </c>
      <c r="C24" s="352">
        <v>1200</v>
      </c>
      <c r="D24" s="352">
        <v>1200</v>
      </c>
      <c r="E24" s="352">
        <v>1200</v>
      </c>
      <c r="F24" s="352">
        <v>1200</v>
      </c>
      <c r="G24" s="352">
        <v>1200</v>
      </c>
      <c r="H24" s="352">
        <v>1200</v>
      </c>
    </row>
    <row r="25" spans="1:8">
      <c r="A25" s="123" t="s">
        <v>142</v>
      </c>
      <c r="B25" s="352">
        <v>1500</v>
      </c>
      <c r="C25" s="352">
        <v>1500</v>
      </c>
      <c r="D25" s="352">
        <v>1500</v>
      </c>
      <c r="E25" s="352">
        <v>1500</v>
      </c>
      <c r="F25" s="352">
        <v>1500</v>
      </c>
      <c r="G25" s="352">
        <v>1500</v>
      </c>
      <c r="H25" s="352">
        <v>1500</v>
      </c>
    </row>
    <row r="26" spans="1:8">
      <c r="A26" s="123" t="s">
        <v>143</v>
      </c>
      <c r="B26" s="352">
        <v>300</v>
      </c>
      <c r="C26" s="352">
        <v>300</v>
      </c>
      <c r="D26" s="352">
        <v>300</v>
      </c>
      <c r="E26" s="352">
        <v>300</v>
      </c>
      <c r="F26" s="352">
        <v>300</v>
      </c>
      <c r="G26" s="352">
        <v>300</v>
      </c>
      <c r="H26" s="352">
        <v>300</v>
      </c>
    </row>
    <row r="27" spans="1:8">
      <c r="A27" s="123" t="s">
        <v>145</v>
      </c>
      <c r="B27" s="352">
        <f>SUM(B20:B26)</f>
        <v>44475</v>
      </c>
      <c r="C27" s="352">
        <f t="shared" ref="C27:G27" si="2">SUM(C20:C26)</f>
        <v>45730</v>
      </c>
      <c r="D27" s="352">
        <f t="shared" si="2"/>
        <v>46985</v>
      </c>
      <c r="E27" s="352">
        <f t="shared" si="2"/>
        <v>48240</v>
      </c>
      <c r="F27" s="352">
        <f t="shared" si="2"/>
        <v>50750</v>
      </c>
      <c r="G27" s="352">
        <f t="shared" si="2"/>
        <v>56905</v>
      </c>
      <c r="H27" s="352">
        <f>SUM(H20:H26)</f>
        <v>62930</v>
      </c>
    </row>
    <row r="28" spans="1:8">
      <c r="A28" s="123"/>
      <c r="B28" s="352"/>
      <c r="C28" s="352"/>
      <c r="D28" s="352"/>
      <c r="E28" s="352"/>
      <c r="F28" s="352"/>
      <c r="G28" s="352"/>
      <c r="H28" s="352"/>
    </row>
    <row r="29" spans="1:8">
      <c r="A29" s="123" t="s">
        <v>340</v>
      </c>
      <c r="B29" s="352">
        <f>B17-B27</f>
        <v>5525</v>
      </c>
      <c r="C29" s="352">
        <f t="shared" ref="C29:G29" si="3">C17-C27</f>
        <v>14270</v>
      </c>
      <c r="D29" s="352">
        <f t="shared" si="3"/>
        <v>23015</v>
      </c>
      <c r="E29" s="352">
        <f t="shared" si="3"/>
        <v>31760</v>
      </c>
      <c r="F29" s="352">
        <f t="shared" si="3"/>
        <v>49250</v>
      </c>
      <c r="G29" s="352">
        <f t="shared" si="3"/>
        <v>93095</v>
      </c>
      <c r="H29" s="352">
        <f>H17-H27</f>
        <v>137070</v>
      </c>
    </row>
    <row r="30" spans="1:8">
      <c r="A30" s="123"/>
      <c r="B30" s="221"/>
      <c r="C30" s="221"/>
      <c r="D30" s="221"/>
      <c r="E30" s="221"/>
      <c r="F30" s="221"/>
      <c r="G30" s="221"/>
      <c r="H30" s="221"/>
    </row>
    <row r="31" spans="1:8">
      <c r="A31" s="123" t="s">
        <v>226</v>
      </c>
      <c r="B31" s="356">
        <f>IF(B29&lt;30000,0,IF(B29&lt;40000,0.01,IF(B29&lt;80000,0.03,IF(B29&lt;140000,0.04,IF(B29&lt;200000,0.05,IF(B29&lt;260000,0.06,IF(B29&lt;320000,0.065,IF(B29&lt;400000,0.07,0.08))))))))</f>
        <v>0</v>
      </c>
      <c r="C31" s="356">
        <f t="shared" ref="C31:H31" si="4">IF(C29&lt;30000,0,IF(C29&lt;40000,0.01,IF(C29&lt;80000,0.03,IF(C29&lt;140000,0.04,IF(C29&lt;200000,0.05,IF(C29&lt;260000,0.06,IF(C29&lt;320000,0.065,IF(C29&lt;400000,0.07,0.08))))))))</f>
        <v>0</v>
      </c>
      <c r="D31" s="356">
        <f t="shared" si="4"/>
        <v>0</v>
      </c>
      <c r="E31" s="356">
        <f t="shared" si="4"/>
        <v>0.01</v>
      </c>
      <c r="F31" s="356">
        <f t="shared" si="4"/>
        <v>0.03</v>
      </c>
      <c r="G31" s="356">
        <f t="shared" si="4"/>
        <v>0.04</v>
      </c>
      <c r="H31" s="356">
        <f t="shared" si="4"/>
        <v>0.04</v>
      </c>
    </row>
    <row r="32" spans="1:8">
      <c r="A32" s="123" t="s">
        <v>227</v>
      </c>
      <c r="B32" s="352">
        <v>0</v>
      </c>
      <c r="C32" s="352">
        <v>0</v>
      </c>
      <c r="D32" s="352">
        <v>0</v>
      </c>
      <c r="E32" s="352">
        <f>E29*E31</f>
        <v>317.60000000000002</v>
      </c>
      <c r="F32" s="352">
        <f t="shared" ref="F32:G32" si="5">F29*F31</f>
        <v>1477.5</v>
      </c>
      <c r="G32" s="352">
        <f t="shared" si="5"/>
        <v>3723.8</v>
      </c>
      <c r="H32" s="352">
        <f>H29*H31</f>
        <v>5482.8</v>
      </c>
    </row>
    <row r="33" spans="1:8">
      <c r="A33" s="123" t="s">
        <v>81</v>
      </c>
      <c r="B33" s="352">
        <f>IF(B29&lt;30000,0,IF(B29&lt;40000,300,IF(B29&lt;80000,1100,IF(B29&lt;140000,1900,IF(B29&lt;200000,3300,IF(B29&lt;260000,5300,IF(B29&lt;320000,6600,IF(B29&lt;400000,8200,12200))))))))</f>
        <v>0</v>
      </c>
      <c r="C33" s="352">
        <f t="shared" ref="C33:H33" si="6">IF(C29&lt;30000,0,IF(C29&lt;40000,300,IF(C29&lt;80000,1100,IF(C29&lt;140000,1900,IF(C29&lt;200000,3300,IF(C29&lt;260000,5300,IF(C29&lt;320000,6600,IF(C29&lt;400000,8200,12200))))))))</f>
        <v>0</v>
      </c>
      <c r="D33" s="352">
        <f t="shared" si="6"/>
        <v>0</v>
      </c>
      <c r="E33" s="352">
        <f t="shared" si="6"/>
        <v>300</v>
      </c>
      <c r="F33" s="352">
        <f t="shared" si="6"/>
        <v>1100</v>
      </c>
      <c r="G33" s="352">
        <f t="shared" si="6"/>
        <v>1900</v>
      </c>
      <c r="H33" s="352">
        <f t="shared" si="6"/>
        <v>1900</v>
      </c>
    </row>
    <row r="34" spans="1:8">
      <c r="A34" s="123"/>
      <c r="B34" s="223"/>
      <c r="C34" s="223"/>
      <c r="D34" s="223"/>
      <c r="E34" s="223"/>
      <c r="F34" s="223"/>
      <c r="G34" s="223"/>
      <c r="H34" s="223"/>
    </row>
    <row r="35" spans="1:8">
      <c r="A35" s="123" t="s">
        <v>147</v>
      </c>
      <c r="B35" s="352">
        <v>0</v>
      </c>
      <c r="C35" s="352">
        <v>0</v>
      </c>
      <c r="D35" s="352">
        <v>0</v>
      </c>
      <c r="E35" s="352">
        <f>E32-E33</f>
        <v>17.600000000000023</v>
      </c>
      <c r="F35" s="352">
        <f t="shared" ref="F35:H35" si="7">F32-F33</f>
        <v>377.5</v>
      </c>
      <c r="G35" s="352">
        <f t="shared" si="7"/>
        <v>1823.8000000000002</v>
      </c>
      <c r="H35" s="352">
        <f t="shared" si="7"/>
        <v>3582.8</v>
      </c>
    </row>
    <row r="36" spans="1:8">
      <c r="A36" s="123" t="s">
        <v>153</v>
      </c>
      <c r="B36" s="352">
        <v>0</v>
      </c>
      <c r="C36" s="352">
        <v>0</v>
      </c>
      <c r="D36" s="352">
        <v>0</v>
      </c>
      <c r="E36" s="352">
        <f>E35*1.6</f>
        <v>28.160000000000039</v>
      </c>
      <c r="F36" s="352">
        <f t="shared" ref="F36:H36" si="8">F35*1.6</f>
        <v>604</v>
      </c>
      <c r="G36" s="352">
        <f t="shared" si="8"/>
        <v>2918.0800000000004</v>
      </c>
      <c r="H36" s="352">
        <f t="shared" si="8"/>
        <v>5732.4800000000005</v>
      </c>
    </row>
    <row r="37" spans="1:8" ht="13.5" thickBot="1">
      <c r="A37" s="185" t="s">
        <v>144</v>
      </c>
      <c r="B37" s="357">
        <v>0</v>
      </c>
      <c r="C37" s="357">
        <v>0</v>
      </c>
      <c r="D37" s="357">
        <v>0</v>
      </c>
      <c r="E37" s="357">
        <f>E35+E36</f>
        <v>45.760000000000062</v>
      </c>
      <c r="F37" s="357">
        <f t="shared" ref="F37:H37" si="9">F35+F36</f>
        <v>981.5</v>
      </c>
      <c r="G37" s="357">
        <f t="shared" si="9"/>
        <v>4741.880000000001</v>
      </c>
      <c r="H37" s="357">
        <f t="shared" si="9"/>
        <v>9315.2800000000007</v>
      </c>
    </row>
    <row r="39" spans="1:8">
      <c r="A39" s="368" t="s">
        <v>482</v>
      </c>
      <c r="B39" s="368"/>
      <c r="C39" s="368"/>
      <c r="D39" s="368"/>
    </row>
    <row r="40" spans="1:8" ht="26.25" customHeight="1">
      <c r="A40" s="372" t="s">
        <v>282</v>
      </c>
      <c r="B40" s="372"/>
      <c r="C40" s="372"/>
      <c r="D40" s="372"/>
      <c r="E40" s="372"/>
      <c r="F40" s="372"/>
      <c r="G40" s="372"/>
      <c r="H40" s="372"/>
    </row>
    <row r="41" spans="1:8" ht="12.75" customHeight="1">
      <c r="A41" s="362" t="s">
        <v>111</v>
      </c>
      <c r="B41" s="362"/>
      <c r="C41" s="362"/>
      <c r="D41" s="362"/>
      <c r="E41" s="362"/>
      <c r="F41" s="362"/>
      <c r="G41" s="362"/>
      <c r="H41" s="362"/>
    </row>
    <row r="42" spans="1:8" ht="38.25" customHeight="1">
      <c r="A42" s="372" t="s">
        <v>261</v>
      </c>
      <c r="B42" s="372"/>
      <c r="C42" s="372"/>
      <c r="D42" s="372"/>
      <c r="E42" s="372"/>
      <c r="F42" s="372"/>
      <c r="G42" s="372"/>
      <c r="H42" s="372"/>
    </row>
    <row r="43" spans="1:8" ht="26.25" customHeight="1">
      <c r="A43" s="372" t="s">
        <v>262</v>
      </c>
      <c r="B43" s="372"/>
      <c r="C43" s="372"/>
      <c r="D43" s="372"/>
      <c r="E43" s="372"/>
      <c r="F43" s="372"/>
      <c r="G43" s="372"/>
      <c r="H43" s="372"/>
    </row>
    <row r="45" spans="1:8">
      <c r="A45" s="38" t="s">
        <v>184</v>
      </c>
    </row>
    <row r="46" spans="1:8">
      <c r="A46" s="35" t="s">
        <v>197</v>
      </c>
    </row>
  </sheetData>
  <mergeCells count="8">
    <mergeCell ref="A42:H42"/>
    <mergeCell ref="A43:H43"/>
    <mergeCell ref="A1:H1"/>
    <mergeCell ref="A2:D2"/>
    <mergeCell ref="A13:H13"/>
    <mergeCell ref="A39:D39"/>
    <mergeCell ref="A40:H40"/>
    <mergeCell ref="A41:H4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6"/>
  <sheetViews>
    <sheetView zoomScaleNormal="100" workbookViewId="0">
      <selection sqref="A1:H1"/>
    </sheetView>
  </sheetViews>
  <sheetFormatPr baseColWidth="10" defaultRowHeight="12.75"/>
  <cols>
    <col min="1" max="1" width="28.28515625" style="35" customWidth="1"/>
    <col min="2" max="8" width="7.85546875" style="35" customWidth="1"/>
    <col min="9" max="16384" width="11.42578125" style="35"/>
  </cols>
  <sheetData>
    <row r="1" spans="1:8" ht="15">
      <c r="A1" s="366" t="s">
        <v>311</v>
      </c>
      <c r="B1" s="366"/>
      <c r="C1" s="366"/>
      <c r="D1" s="366"/>
      <c r="E1" s="366"/>
      <c r="F1" s="366"/>
      <c r="G1" s="366"/>
      <c r="H1" s="366"/>
    </row>
    <row r="2" spans="1:8">
      <c r="A2" s="381" t="s">
        <v>750</v>
      </c>
      <c r="B2" s="381"/>
      <c r="C2" s="381"/>
      <c r="D2" s="381"/>
      <c r="H2" s="36" t="s">
        <v>163</v>
      </c>
    </row>
    <row r="4" spans="1:8" ht="13.5" thickBot="1"/>
    <row r="5" spans="1:8">
      <c r="A5" s="219" t="s">
        <v>225</v>
      </c>
      <c r="B5" s="351">
        <v>50000</v>
      </c>
      <c r="C5" s="351">
        <v>60000</v>
      </c>
      <c r="D5" s="351">
        <v>70000</v>
      </c>
      <c r="E5" s="351">
        <v>80000</v>
      </c>
      <c r="F5" s="351">
        <v>100000</v>
      </c>
      <c r="G5" s="351">
        <v>150000</v>
      </c>
      <c r="H5" s="351">
        <v>200000</v>
      </c>
    </row>
    <row r="6" spans="1:8">
      <c r="A6" s="123"/>
      <c r="B6" s="352"/>
      <c r="C6" s="352"/>
      <c r="D6" s="352"/>
      <c r="E6" s="352"/>
      <c r="F6" s="352"/>
      <c r="G6" s="352"/>
      <c r="H6" s="352"/>
    </row>
    <row r="7" spans="1:8">
      <c r="A7" s="123" t="s">
        <v>135</v>
      </c>
      <c r="B7" s="352">
        <f>B37</f>
        <v>0</v>
      </c>
      <c r="C7" s="352">
        <f>C37</f>
        <v>0</v>
      </c>
      <c r="D7" s="352">
        <f>D37</f>
        <v>112.18999999999994</v>
      </c>
      <c r="E7" s="352">
        <f>E37</f>
        <v>628.67999999999984</v>
      </c>
      <c r="F7" s="352">
        <f t="shared" ref="F7:H7" si="0">F37</f>
        <v>1992.9</v>
      </c>
      <c r="G7" s="352">
        <f t="shared" si="0"/>
        <v>6372.0800000000008</v>
      </c>
      <c r="H7" s="352">
        <f t="shared" si="0"/>
        <v>11878.1</v>
      </c>
    </row>
    <row r="8" spans="1:8" ht="13.5" thickBot="1">
      <c r="A8" s="185" t="s">
        <v>136</v>
      </c>
      <c r="B8" s="358">
        <f>B7/B5</f>
        <v>0</v>
      </c>
      <c r="C8" s="358">
        <f t="shared" ref="C8:H8" si="1">C7/C5</f>
        <v>0</v>
      </c>
      <c r="D8" s="358">
        <f t="shared" si="1"/>
        <v>1.6027142857142848E-3</v>
      </c>
      <c r="E8" s="358">
        <f t="shared" si="1"/>
        <v>7.8584999999999974E-3</v>
      </c>
      <c r="F8" s="358">
        <f t="shared" si="1"/>
        <v>1.9929000000000002E-2</v>
      </c>
      <c r="G8" s="358">
        <f t="shared" si="1"/>
        <v>4.2480533333333341E-2</v>
      </c>
      <c r="H8" s="358">
        <f t="shared" si="1"/>
        <v>5.9390499999999999E-2</v>
      </c>
    </row>
    <row r="9" spans="1:8">
      <c r="A9" s="28"/>
      <c r="B9" s="63"/>
      <c r="C9" s="63"/>
      <c r="D9" s="63"/>
      <c r="E9" s="63"/>
      <c r="F9" s="63"/>
      <c r="G9" s="63"/>
      <c r="H9" s="63"/>
    </row>
    <row r="10" spans="1:8">
      <c r="A10" s="28"/>
      <c r="B10" s="63"/>
      <c r="C10" s="63"/>
      <c r="D10" s="63"/>
      <c r="E10" s="63"/>
      <c r="F10" s="63"/>
      <c r="G10" s="63"/>
      <c r="H10" s="63"/>
    </row>
    <row r="11" spans="1:8">
      <c r="A11" s="28"/>
      <c r="B11" s="63"/>
      <c r="C11" s="63"/>
      <c r="D11" s="63"/>
      <c r="E11" s="63"/>
      <c r="F11" s="63"/>
      <c r="G11" s="63"/>
      <c r="H11" s="85"/>
    </row>
    <row r="12" spans="1:8">
      <c r="A12" s="28"/>
      <c r="B12" s="63"/>
      <c r="C12" s="63"/>
      <c r="D12" s="63"/>
      <c r="E12" s="63"/>
      <c r="F12" s="63"/>
      <c r="G12" s="63"/>
      <c r="H12" s="63"/>
    </row>
    <row r="13" spans="1:8" ht="15">
      <c r="A13" s="367" t="s">
        <v>310</v>
      </c>
      <c r="B13" s="367"/>
      <c r="C13" s="367"/>
      <c r="D13" s="367"/>
      <c r="E13" s="367"/>
      <c r="F13" s="367"/>
      <c r="G13" s="367"/>
      <c r="H13" s="367"/>
    </row>
    <row r="14" spans="1:8">
      <c r="A14" s="28" t="s">
        <v>751</v>
      </c>
      <c r="B14" s="28"/>
      <c r="C14" s="28"/>
      <c r="D14" s="28"/>
      <c r="E14" s="28"/>
      <c r="F14" s="28"/>
      <c r="G14" s="28"/>
      <c r="H14" s="37" t="s">
        <v>164</v>
      </c>
    </row>
    <row r="15" spans="1:8">
      <c r="A15" s="28"/>
      <c r="B15" s="28"/>
      <c r="C15" s="28"/>
      <c r="D15" s="28"/>
      <c r="E15" s="28"/>
      <c r="F15" s="28"/>
      <c r="G15" s="28"/>
      <c r="H15" s="28"/>
    </row>
    <row r="16" spans="1:8" ht="13.5" thickBot="1">
      <c r="A16" s="28"/>
      <c r="B16" s="63"/>
      <c r="C16" s="63"/>
      <c r="D16" s="63"/>
      <c r="E16" s="63"/>
      <c r="F16" s="63"/>
      <c r="G16" s="63"/>
      <c r="H16" s="85"/>
    </row>
    <row r="17" spans="1:8">
      <c r="A17" s="219" t="s">
        <v>146</v>
      </c>
      <c r="B17" s="351">
        <v>50000</v>
      </c>
      <c r="C17" s="351">
        <v>60000</v>
      </c>
      <c r="D17" s="351">
        <v>70000</v>
      </c>
      <c r="E17" s="351">
        <v>80000</v>
      </c>
      <c r="F17" s="351">
        <v>100000</v>
      </c>
      <c r="G17" s="351">
        <v>150000</v>
      </c>
      <c r="H17" s="351">
        <v>200000</v>
      </c>
    </row>
    <row r="18" spans="1:8">
      <c r="A18" s="123"/>
      <c r="B18" s="352"/>
      <c r="C18" s="352"/>
      <c r="D18" s="352"/>
      <c r="E18" s="352"/>
      <c r="F18" s="352"/>
      <c r="G18" s="352"/>
      <c r="H18" s="352"/>
    </row>
    <row r="19" spans="1:8">
      <c r="A19" s="123" t="s">
        <v>139</v>
      </c>
      <c r="B19" s="352"/>
      <c r="C19" s="352"/>
      <c r="D19" s="352"/>
      <c r="E19" s="352"/>
      <c r="F19" s="352"/>
      <c r="G19" s="352"/>
      <c r="H19" s="352"/>
    </row>
    <row r="20" spans="1:8">
      <c r="A20" s="123" t="s">
        <v>339</v>
      </c>
      <c r="B20" s="352">
        <v>3275</v>
      </c>
      <c r="C20" s="352">
        <v>3930</v>
      </c>
      <c r="D20" s="352">
        <v>4585</v>
      </c>
      <c r="E20" s="352">
        <v>5240</v>
      </c>
      <c r="F20" s="352">
        <v>6550</v>
      </c>
      <c r="G20" s="352">
        <v>9705</v>
      </c>
      <c r="H20" s="352">
        <v>12730</v>
      </c>
    </row>
    <row r="21" spans="1:8">
      <c r="A21" s="123" t="s">
        <v>148</v>
      </c>
      <c r="B21" s="352">
        <v>3000</v>
      </c>
      <c r="C21" s="352">
        <v>3600</v>
      </c>
      <c r="D21" s="352">
        <v>4200</v>
      </c>
      <c r="E21" s="352">
        <v>4800</v>
      </c>
      <c r="F21" s="352">
        <v>6000</v>
      </c>
      <c r="G21" s="352">
        <v>9000</v>
      </c>
      <c r="H21" s="352">
        <v>12000</v>
      </c>
    </row>
    <row r="22" spans="1:8">
      <c r="A22" s="123" t="s">
        <v>94</v>
      </c>
      <c r="B22" s="352">
        <v>7700</v>
      </c>
      <c r="C22" s="352">
        <v>7700</v>
      </c>
      <c r="D22" s="352">
        <v>7700</v>
      </c>
      <c r="E22" s="352">
        <v>7700</v>
      </c>
      <c r="F22" s="352">
        <v>7700</v>
      </c>
      <c r="G22" s="352">
        <v>7700</v>
      </c>
      <c r="H22" s="352">
        <v>7700</v>
      </c>
    </row>
    <row r="23" spans="1:8">
      <c r="A23" s="123" t="s">
        <v>228</v>
      </c>
      <c r="B23" s="352">
        <v>24000</v>
      </c>
      <c r="C23" s="352">
        <v>24000</v>
      </c>
      <c r="D23" s="352">
        <v>24000</v>
      </c>
      <c r="E23" s="352">
        <v>24000</v>
      </c>
      <c r="F23" s="352">
        <v>24000</v>
      </c>
      <c r="G23" s="352">
        <v>24000</v>
      </c>
      <c r="H23" s="352">
        <v>24000</v>
      </c>
    </row>
    <row r="24" spans="1:8">
      <c r="A24" s="123" t="s">
        <v>140</v>
      </c>
      <c r="B24" s="352">
        <v>900</v>
      </c>
      <c r="C24" s="352">
        <v>900</v>
      </c>
      <c r="D24" s="352">
        <v>900</v>
      </c>
      <c r="E24" s="352">
        <v>900</v>
      </c>
      <c r="F24" s="352">
        <v>900</v>
      </c>
      <c r="G24" s="352">
        <v>900</v>
      </c>
      <c r="H24" s="352">
        <v>900</v>
      </c>
    </row>
    <row r="25" spans="1:8">
      <c r="A25" s="123" t="s">
        <v>142</v>
      </c>
      <c r="B25" s="352">
        <v>1500</v>
      </c>
      <c r="C25" s="352">
        <v>1500</v>
      </c>
      <c r="D25" s="352">
        <v>1500</v>
      </c>
      <c r="E25" s="352">
        <v>1500</v>
      </c>
      <c r="F25" s="352">
        <v>1500</v>
      </c>
      <c r="G25" s="352">
        <v>1500</v>
      </c>
      <c r="H25" s="352">
        <v>1500</v>
      </c>
    </row>
    <row r="26" spans="1:8">
      <c r="A26" s="123" t="s">
        <v>143</v>
      </c>
      <c r="B26" s="352">
        <v>300</v>
      </c>
      <c r="C26" s="352">
        <v>300</v>
      </c>
      <c r="D26" s="352">
        <v>300</v>
      </c>
      <c r="E26" s="352">
        <v>300</v>
      </c>
      <c r="F26" s="352">
        <v>300</v>
      </c>
      <c r="G26" s="352">
        <v>300</v>
      </c>
      <c r="H26" s="352">
        <v>300</v>
      </c>
    </row>
    <row r="27" spans="1:8">
      <c r="A27" s="123" t="s">
        <v>145</v>
      </c>
      <c r="B27" s="352">
        <f>SUM(B20:B26)</f>
        <v>40675</v>
      </c>
      <c r="C27" s="352">
        <f>SUM(C20:C26)</f>
        <v>41930</v>
      </c>
      <c r="D27" s="352">
        <f t="shared" ref="D27:H27" si="2">SUM(D20:D26)</f>
        <v>43185</v>
      </c>
      <c r="E27" s="352">
        <f t="shared" si="2"/>
        <v>44440</v>
      </c>
      <c r="F27" s="352">
        <f t="shared" si="2"/>
        <v>46950</v>
      </c>
      <c r="G27" s="352">
        <f t="shared" si="2"/>
        <v>53105</v>
      </c>
      <c r="H27" s="352">
        <f t="shared" si="2"/>
        <v>59130</v>
      </c>
    </row>
    <row r="28" spans="1:8">
      <c r="A28" s="123"/>
      <c r="B28" s="352"/>
      <c r="C28" s="352"/>
      <c r="D28" s="352"/>
      <c r="E28" s="352"/>
      <c r="F28" s="352"/>
      <c r="G28" s="352"/>
      <c r="H28" s="352"/>
    </row>
    <row r="29" spans="1:8">
      <c r="A29" s="123" t="s">
        <v>340</v>
      </c>
      <c r="B29" s="352">
        <f>B17-B27</f>
        <v>9325</v>
      </c>
      <c r="C29" s="352">
        <f t="shared" ref="C29:H29" si="3">C17-C27</f>
        <v>18070</v>
      </c>
      <c r="D29" s="352">
        <f t="shared" si="3"/>
        <v>26815</v>
      </c>
      <c r="E29" s="352">
        <f t="shared" si="3"/>
        <v>35560</v>
      </c>
      <c r="F29" s="352">
        <f t="shared" si="3"/>
        <v>53050</v>
      </c>
      <c r="G29" s="352">
        <f t="shared" si="3"/>
        <v>96895</v>
      </c>
      <c r="H29" s="352">
        <f t="shared" si="3"/>
        <v>140870</v>
      </c>
    </row>
    <row r="30" spans="1:8">
      <c r="A30" s="123"/>
      <c r="B30" s="221"/>
      <c r="C30" s="221"/>
      <c r="D30" s="221"/>
      <c r="E30" s="221"/>
      <c r="F30" s="221"/>
      <c r="G30" s="221"/>
      <c r="H30" s="221"/>
    </row>
    <row r="31" spans="1:8">
      <c r="A31" s="123" t="s">
        <v>226</v>
      </c>
      <c r="B31" s="356">
        <f>IF(B29&lt;22500,0,IF(B29&lt;30000,0.01,IF(B29&lt;60000,0.03,IF(B29&lt;105000,0.04,IF(B29&lt;150000,0.05,IF(B29&lt;195000,0.06,IF(B29&lt;240000,0.065,IF(B29&lt;300000,0.07,0.08))))))))</f>
        <v>0</v>
      </c>
      <c r="C31" s="356">
        <f t="shared" ref="C31:H31" si="4">IF(C29&lt;22500,0,IF(C29&lt;30000,0.01,IF(C29&lt;60000,0.03,IF(C29&lt;105000,0.04,IF(C29&lt;150000,0.05,IF(C29&lt;195000,0.06,IF(C29&lt;240000,0.065,IF(C29&lt;300000,0.07,0.08))))))))</f>
        <v>0</v>
      </c>
      <c r="D31" s="356">
        <f t="shared" si="4"/>
        <v>0.01</v>
      </c>
      <c r="E31" s="356">
        <f t="shared" si="4"/>
        <v>0.03</v>
      </c>
      <c r="F31" s="356">
        <f t="shared" si="4"/>
        <v>0.03</v>
      </c>
      <c r="G31" s="356">
        <f t="shared" si="4"/>
        <v>0.04</v>
      </c>
      <c r="H31" s="356">
        <f t="shared" si="4"/>
        <v>0.05</v>
      </c>
    </row>
    <row r="32" spans="1:8">
      <c r="A32" s="123" t="s">
        <v>227</v>
      </c>
      <c r="B32" s="352">
        <v>0</v>
      </c>
      <c r="C32" s="352">
        <v>0</v>
      </c>
      <c r="D32" s="352">
        <f t="shared" ref="D32:H32" si="5">D29*D31</f>
        <v>268.14999999999998</v>
      </c>
      <c r="E32" s="352">
        <f t="shared" si="5"/>
        <v>1066.8</v>
      </c>
      <c r="F32" s="352">
        <f t="shared" si="5"/>
        <v>1591.5</v>
      </c>
      <c r="G32" s="352">
        <f t="shared" si="5"/>
        <v>3875.8</v>
      </c>
      <c r="H32" s="352">
        <f t="shared" si="5"/>
        <v>7043.5</v>
      </c>
    </row>
    <row r="33" spans="1:8">
      <c r="A33" s="123" t="s">
        <v>81</v>
      </c>
      <c r="B33" s="352">
        <f>IF(B29&lt;22500,0,IF(B29&lt;30000,225,IF(B29&lt;60000,825,IF(B29&lt;105000,1425,IF(B29&lt;150000,2475,IF(B29&lt;195000,3975,IF(B29&lt;240000,4950,IF(B29&lt;300000,6150,9150))))))))</f>
        <v>0</v>
      </c>
      <c r="C33" s="352">
        <f t="shared" ref="C33:H33" si="6">IF(C29&lt;22500,0,IF(C29&lt;30000,225,IF(C29&lt;60000,825,IF(C29&lt;105000,1425,IF(C29&lt;150000,2475,IF(C29&lt;195000,3975,IF(C29&lt;240000,4950,IF(C29&lt;300000,6150,9150))))))))</f>
        <v>0</v>
      </c>
      <c r="D33" s="352">
        <f t="shared" si="6"/>
        <v>225</v>
      </c>
      <c r="E33" s="352">
        <f t="shared" si="6"/>
        <v>825</v>
      </c>
      <c r="F33" s="352">
        <f t="shared" si="6"/>
        <v>825</v>
      </c>
      <c r="G33" s="352">
        <f t="shared" si="6"/>
        <v>1425</v>
      </c>
      <c r="H33" s="352">
        <f t="shared" si="6"/>
        <v>2475</v>
      </c>
    </row>
    <row r="34" spans="1:8">
      <c r="A34" s="123"/>
      <c r="B34" s="223"/>
      <c r="C34" s="223"/>
      <c r="D34" s="223"/>
      <c r="E34" s="223"/>
      <c r="F34" s="223"/>
      <c r="G34" s="223"/>
      <c r="H34" s="223"/>
    </row>
    <row r="35" spans="1:8">
      <c r="A35" s="123" t="s">
        <v>147</v>
      </c>
      <c r="B35" s="352">
        <v>0</v>
      </c>
      <c r="C35" s="352">
        <v>0</v>
      </c>
      <c r="D35" s="352">
        <f t="shared" ref="D35:H35" si="7">D32-D33</f>
        <v>43.149999999999977</v>
      </c>
      <c r="E35" s="352">
        <f t="shared" si="7"/>
        <v>241.79999999999995</v>
      </c>
      <c r="F35" s="352">
        <f t="shared" si="7"/>
        <v>766.5</v>
      </c>
      <c r="G35" s="352">
        <f t="shared" si="7"/>
        <v>2450.8000000000002</v>
      </c>
      <c r="H35" s="352">
        <f t="shared" si="7"/>
        <v>4568.5</v>
      </c>
    </row>
    <row r="36" spans="1:8">
      <c r="A36" s="123" t="s">
        <v>153</v>
      </c>
      <c r="B36" s="352">
        <v>0</v>
      </c>
      <c r="C36" s="352">
        <v>0</v>
      </c>
      <c r="D36" s="352">
        <f t="shared" ref="D36:H36" si="8">D35*1.6</f>
        <v>69.039999999999964</v>
      </c>
      <c r="E36" s="352">
        <f t="shared" si="8"/>
        <v>386.87999999999994</v>
      </c>
      <c r="F36" s="352">
        <f t="shared" si="8"/>
        <v>1226.4000000000001</v>
      </c>
      <c r="G36" s="352">
        <f t="shared" si="8"/>
        <v>3921.2800000000007</v>
      </c>
      <c r="H36" s="352">
        <f t="shared" si="8"/>
        <v>7309.6</v>
      </c>
    </row>
    <row r="37" spans="1:8" ht="13.5" thickBot="1">
      <c r="A37" s="185" t="s">
        <v>144</v>
      </c>
      <c r="B37" s="357">
        <v>0</v>
      </c>
      <c r="C37" s="357">
        <v>0</v>
      </c>
      <c r="D37" s="357">
        <f t="shared" ref="D37:H37" si="9">D35+D36</f>
        <v>112.18999999999994</v>
      </c>
      <c r="E37" s="357">
        <f t="shared" si="9"/>
        <v>628.67999999999984</v>
      </c>
      <c r="F37" s="357">
        <f t="shared" si="9"/>
        <v>1992.9</v>
      </c>
      <c r="G37" s="357">
        <f t="shared" si="9"/>
        <v>6372.0800000000008</v>
      </c>
      <c r="H37" s="357">
        <f t="shared" si="9"/>
        <v>11878.1</v>
      </c>
    </row>
    <row r="38" spans="1:8">
      <c r="A38" s="28"/>
      <c r="B38" s="28"/>
      <c r="C38" s="28"/>
      <c r="D38" s="28"/>
      <c r="E38" s="28"/>
      <c r="F38" s="28"/>
      <c r="G38" s="28"/>
      <c r="H38" s="28"/>
    </row>
    <row r="39" spans="1:8">
      <c r="A39" s="368" t="s">
        <v>482</v>
      </c>
      <c r="B39" s="368"/>
      <c r="C39" s="368"/>
      <c r="D39" s="368"/>
    </row>
    <row r="40" spans="1:8" ht="26.25" customHeight="1">
      <c r="A40" s="372" t="s">
        <v>284</v>
      </c>
      <c r="B40" s="372"/>
      <c r="C40" s="372"/>
      <c r="D40" s="372"/>
      <c r="E40" s="372"/>
      <c r="F40" s="372"/>
      <c r="G40" s="372"/>
      <c r="H40" s="372"/>
    </row>
    <row r="41" spans="1:8" ht="12.75" customHeight="1">
      <c r="A41" s="362" t="s">
        <v>111</v>
      </c>
      <c r="B41" s="362"/>
      <c r="C41" s="362"/>
      <c r="D41" s="362"/>
      <c r="E41" s="362"/>
      <c r="F41" s="362"/>
      <c r="G41" s="362"/>
      <c r="H41" s="362"/>
    </row>
    <row r="42" spans="1:8" ht="36" customHeight="1">
      <c r="A42" s="372" t="s">
        <v>261</v>
      </c>
      <c r="B42" s="372"/>
      <c r="C42" s="372"/>
      <c r="D42" s="372"/>
      <c r="E42" s="372"/>
      <c r="F42" s="372"/>
      <c r="G42" s="372"/>
      <c r="H42" s="372"/>
    </row>
    <row r="43" spans="1:8" ht="26.25" customHeight="1">
      <c r="A43" s="372" t="s">
        <v>262</v>
      </c>
      <c r="B43" s="372"/>
      <c r="C43" s="372"/>
      <c r="D43" s="372"/>
      <c r="E43" s="372"/>
      <c r="F43" s="372"/>
      <c r="G43" s="372"/>
      <c r="H43" s="372"/>
    </row>
    <row r="44" spans="1:8" ht="11.25" customHeight="1"/>
    <row r="45" spans="1:8">
      <c r="A45" s="38" t="s">
        <v>184</v>
      </c>
    </row>
    <row r="46" spans="1:8">
      <c r="A46" s="35" t="s">
        <v>197</v>
      </c>
    </row>
  </sheetData>
  <mergeCells count="8">
    <mergeCell ref="A42:H42"/>
    <mergeCell ref="A43:H43"/>
    <mergeCell ref="A1:H1"/>
    <mergeCell ref="A2:D2"/>
    <mergeCell ref="A13:H13"/>
    <mergeCell ref="A39:D39"/>
    <mergeCell ref="A40:H40"/>
    <mergeCell ref="A41:H4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heetViews>
  <sheetFormatPr baseColWidth="10" defaultRowHeight="12.75"/>
  <sheetData>
    <row r="3" spans="1:1" ht="15">
      <c r="A3" s="90" t="s">
        <v>666</v>
      </c>
    </row>
  </sheetData>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H37"/>
  <sheetViews>
    <sheetView zoomScaleNormal="100" workbookViewId="0">
      <selection sqref="A1:H1"/>
    </sheetView>
  </sheetViews>
  <sheetFormatPr baseColWidth="10" defaultRowHeight="12.75"/>
  <cols>
    <col min="1" max="1" width="25.42578125" style="5" customWidth="1"/>
    <col min="2" max="8" width="8.42578125" style="5" customWidth="1"/>
    <col min="9" max="16384" width="11.42578125" style="5"/>
  </cols>
  <sheetData>
    <row r="1" spans="1:8" ht="15">
      <c r="A1" s="360" t="s">
        <v>552</v>
      </c>
      <c r="B1" s="360"/>
      <c r="C1" s="360"/>
      <c r="D1" s="360"/>
      <c r="E1" s="360"/>
      <c r="F1" s="360"/>
      <c r="G1" s="360"/>
      <c r="H1" s="360"/>
    </row>
    <row r="2" spans="1:8">
      <c r="A2" s="381" t="s">
        <v>752</v>
      </c>
      <c r="B2" s="381"/>
      <c r="C2" s="381"/>
      <c r="D2" s="381"/>
      <c r="E2" s="381"/>
      <c r="F2" s="381"/>
      <c r="H2" s="2" t="s">
        <v>137</v>
      </c>
    </row>
    <row r="3" spans="1:8">
      <c r="A3" s="35"/>
    </row>
    <row r="4" spans="1:8" ht="13.5" thickBot="1"/>
    <row r="5" spans="1:8">
      <c r="A5" s="119" t="s">
        <v>152</v>
      </c>
      <c r="B5" s="230">
        <v>0.04</v>
      </c>
      <c r="C5" s="230">
        <v>0.08</v>
      </c>
      <c r="D5" s="230">
        <v>0.12</v>
      </c>
      <c r="E5" s="230">
        <v>0.16</v>
      </c>
      <c r="F5" s="230">
        <v>0.2</v>
      </c>
      <c r="G5" s="230">
        <v>0.3</v>
      </c>
      <c r="H5" s="230">
        <v>0.4</v>
      </c>
    </row>
    <row r="6" spans="1:8">
      <c r="A6" s="171" t="s">
        <v>229</v>
      </c>
      <c r="B6" s="60">
        <f>100000*B5</f>
        <v>4000</v>
      </c>
      <c r="C6" s="60">
        <f t="shared" ref="C6:H6" si="0">100000*C5</f>
        <v>8000</v>
      </c>
      <c r="D6" s="60">
        <f t="shared" si="0"/>
        <v>12000</v>
      </c>
      <c r="E6" s="60">
        <f t="shared" si="0"/>
        <v>16000</v>
      </c>
      <c r="F6" s="60">
        <f t="shared" si="0"/>
        <v>20000</v>
      </c>
      <c r="G6" s="60">
        <f t="shared" si="0"/>
        <v>30000</v>
      </c>
      <c r="H6" s="60">
        <f t="shared" si="0"/>
        <v>40000</v>
      </c>
    </row>
    <row r="7" spans="1:8">
      <c r="A7" s="171"/>
      <c r="B7" s="60"/>
      <c r="C7" s="60"/>
      <c r="D7" s="60"/>
      <c r="E7" s="60"/>
      <c r="F7" s="60"/>
      <c r="G7" s="60"/>
      <c r="H7" s="231"/>
    </row>
    <row r="8" spans="1:8">
      <c r="A8" s="171" t="s">
        <v>135</v>
      </c>
      <c r="B8" s="124">
        <f t="shared" ref="B8:H8" si="1">B28</f>
        <v>90</v>
      </c>
      <c r="C8" s="124">
        <f t="shared" si="1"/>
        <v>590</v>
      </c>
      <c r="D8" s="124">
        <f t="shared" si="1"/>
        <v>1090</v>
      </c>
      <c r="E8" s="124">
        <f t="shared" si="1"/>
        <v>1590</v>
      </c>
      <c r="F8" s="124">
        <f t="shared" si="1"/>
        <v>2090</v>
      </c>
      <c r="G8" s="124">
        <f t="shared" si="1"/>
        <v>3340</v>
      </c>
      <c r="H8" s="124">
        <f t="shared" si="1"/>
        <v>4590</v>
      </c>
    </row>
    <row r="9" spans="1:8" ht="13.5" thickBot="1">
      <c r="A9" s="173" t="s">
        <v>136</v>
      </c>
      <c r="B9" s="232">
        <f>B8/B6</f>
        <v>2.2499999999999999E-2</v>
      </c>
      <c r="C9" s="232">
        <f t="shared" ref="C9:H9" si="2">C8/C6</f>
        <v>7.3749999999999996E-2</v>
      </c>
      <c r="D9" s="232">
        <f t="shared" si="2"/>
        <v>9.0833333333333335E-2</v>
      </c>
      <c r="E9" s="232">
        <f t="shared" si="2"/>
        <v>9.9375000000000005E-2</v>
      </c>
      <c r="F9" s="232">
        <f t="shared" si="2"/>
        <v>0.1045</v>
      </c>
      <c r="G9" s="232">
        <f t="shared" si="2"/>
        <v>0.11133333333333334</v>
      </c>
      <c r="H9" s="232">
        <f t="shared" si="2"/>
        <v>0.11475</v>
      </c>
    </row>
    <row r="11" spans="1:8">
      <c r="B11" s="8"/>
      <c r="C11" s="8"/>
      <c r="D11" s="8"/>
      <c r="E11" s="8"/>
      <c r="F11" s="8"/>
      <c r="G11" s="8"/>
    </row>
    <row r="12" spans="1:8">
      <c r="B12" s="8"/>
      <c r="C12" s="8"/>
      <c r="D12" s="8"/>
      <c r="E12" s="8"/>
      <c r="F12" s="8"/>
      <c r="G12" s="8"/>
      <c r="H12" s="21"/>
    </row>
    <row r="13" spans="1:8">
      <c r="B13" s="8"/>
      <c r="C13" s="8"/>
      <c r="D13" s="8"/>
      <c r="E13" s="8"/>
      <c r="F13" s="8"/>
      <c r="G13" s="8"/>
    </row>
    <row r="14" spans="1:8" ht="15">
      <c r="A14" s="360" t="s">
        <v>553</v>
      </c>
      <c r="B14" s="360"/>
      <c r="C14" s="360"/>
      <c r="D14" s="360"/>
      <c r="E14" s="360"/>
      <c r="F14" s="360"/>
      <c r="G14" s="360"/>
      <c r="H14" s="360"/>
    </row>
    <row r="15" spans="1:8">
      <c r="A15" s="381" t="s">
        <v>749</v>
      </c>
      <c r="B15" s="381"/>
      <c r="C15" s="381"/>
      <c r="D15" s="381"/>
      <c r="E15" s="381"/>
      <c r="F15" s="381"/>
      <c r="H15" s="2" t="s">
        <v>138</v>
      </c>
    </row>
    <row r="16" spans="1:8">
      <c r="B16" s="8"/>
      <c r="C16" s="8"/>
      <c r="D16" s="8"/>
      <c r="E16" s="8"/>
      <c r="F16" s="8"/>
      <c r="G16" s="8"/>
      <c r="H16" s="21"/>
    </row>
    <row r="17" spans="1:8" ht="13.5" thickBot="1">
      <c r="B17" s="8"/>
      <c r="C17" s="8"/>
      <c r="D17" s="8"/>
      <c r="E17" s="8"/>
      <c r="F17" s="8"/>
    </row>
    <row r="18" spans="1:8">
      <c r="A18" s="119" t="s">
        <v>152</v>
      </c>
      <c r="B18" s="230">
        <v>0.04</v>
      </c>
      <c r="C18" s="230">
        <v>0.08</v>
      </c>
      <c r="D18" s="230">
        <v>0.12</v>
      </c>
      <c r="E18" s="230">
        <v>0.16</v>
      </c>
      <c r="F18" s="230">
        <v>0.2</v>
      </c>
      <c r="G18" s="230">
        <v>0.3</v>
      </c>
      <c r="H18" s="230">
        <v>0.4</v>
      </c>
    </row>
    <row r="19" spans="1:8">
      <c r="A19" s="171" t="s">
        <v>229</v>
      </c>
      <c r="B19" s="60">
        <f>100000*B18</f>
        <v>4000</v>
      </c>
      <c r="C19" s="60">
        <f t="shared" ref="C19:H19" si="3">100000*C18</f>
        <v>8000</v>
      </c>
      <c r="D19" s="60">
        <f t="shared" si="3"/>
        <v>12000</v>
      </c>
      <c r="E19" s="60">
        <f t="shared" si="3"/>
        <v>16000</v>
      </c>
      <c r="F19" s="60">
        <f t="shared" si="3"/>
        <v>20000</v>
      </c>
      <c r="G19" s="60">
        <f t="shared" si="3"/>
        <v>30000</v>
      </c>
      <c r="H19" s="60">
        <f t="shared" si="3"/>
        <v>40000</v>
      </c>
    </row>
    <row r="20" spans="1:8">
      <c r="A20" s="171"/>
      <c r="B20" s="60"/>
      <c r="C20" s="60"/>
      <c r="D20" s="60"/>
      <c r="E20" s="60"/>
      <c r="F20" s="60"/>
      <c r="G20" s="60"/>
      <c r="H20" s="60"/>
    </row>
    <row r="21" spans="1:8">
      <c r="A21" s="171" t="s">
        <v>230</v>
      </c>
      <c r="B21" s="60">
        <f>100000-0.06*300000</f>
        <v>82000</v>
      </c>
      <c r="C21" s="60">
        <f t="shared" ref="C21:H21" si="4">100000-0.06*300000</f>
        <v>82000</v>
      </c>
      <c r="D21" s="60">
        <f t="shared" si="4"/>
        <v>82000</v>
      </c>
      <c r="E21" s="60">
        <f t="shared" si="4"/>
        <v>82000</v>
      </c>
      <c r="F21" s="60">
        <f t="shared" si="4"/>
        <v>82000</v>
      </c>
      <c r="G21" s="60">
        <f t="shared" si="4"/>
        <v>82000</v>
      </c>
      <c r="H21" s="60">
        <f t="shared" si="4"/>
        <v>82000</v>
      </c>
    </row>
    <row r="22" spans="1:8">
      <c r="A22" s="171" t="s">
        <v>231</v>
      </c>
      <c r="B22" s="60">
        <f>B21*0.04</f>
        <v>3280</v>
      </c>
      <c r="C22" s="60">
        <f t="shared" ref="C22:H22" si="5">C21*0.04</f>
        <v>3280</v>
      </c>
      <c r="D22" s="60">
        <f t="shared" si="5"/>
        <v>3280</v>
      </c>
      <c r="E22" s="60">
        <f t="shared" si="5"/>
        <v>3280</v>
      </c>
      <c r="F22" s="60">
        <f t="shared" si="5"/>
        <v>3280</v>
      </c>
      <c r="G22" s="60">
        <f t="shared" si="5"/>
        <v>3280</v>
      </c>
      <c r="H22" s="60">
        <f t="shared" si="5"/>
        <v>3280</v>
      </c>
    </row>
    <row r="23" spans="1:8">
      <c r="A23" s="171"/>
      <c r="B23" s="60"/>
      <c r="C23" s="60"/>
      <c r="D23" s="60"/>
      <c r="E23" s="60"/>
      <c r="F23" s="60"/>
      <c r="G23" s="60"/>
      <c r="H23" s="60"/>
    </row>
    <row r="24" spans="1:8">
      <c r="A24" s="171"/>
      <c r="B24" s="60"/>
      <c r="C24" s="60"/>
      <c r="D24" s="60"/>
      <c r="E24" s="60"/>
      <c r="F24" s="60"/>
      <c r="G24" s="60"/>
      <c r="H24" s="60"/>
    </row>
    <row r="25" spans="1:8">
      <c r="A25" s="171" t="s">
        <v>232</v>
      </c>
      <c r="B25" s="39">
        <f t="shared" ref="B25:H25" si="6">B19-B22</f>
        <v>720</v>
      </c>
      <c r="C25" s="60">
        <f t="shared" si="6"/>
        <v>4720</v>
      </c>
      <c r="D25" s="60">
        <f t="shared" si="6"/>
        <v>8720</v>
      </c>
      <c r="E25" s="60">
        <f t="shared" si="6"/>
        <v>12720</v>
      </c>
      <c r="F25" s="60">
        <f t="shared" si="6"/>
        <v>16720</v>
      </c>
      <c r="G25" s="60">
        <f t="shared" si="6"/>
        <v>26720</v>
      </c>
      <c r="H25" s="60">
        <f t="shared" si="6"/>
        <v>36720</v>
      </c>
    </row>
    <row r="26" spans="1:8">
      <c r="A26" s="171" t="s">
        <v>233</v>
      </c>
      <c r="B26" s="109">
        <v>0.125</v>
      </c>
      <c r="C26" s="109">
        <v>0.125</v>
      </c>
      <c r="D26" s="109">
        <v>0.125</v>
      </c>
      <c r="E26" s="109">
        <v>0.125</v>
      </c>
      <c r="F26" s="109">
        <v>0.125</v>
      </c>
      <c r="G26" s="109">
        <v>0.125</v>
      </c>
      <c r="H26" s="109">
        <v>0.125</v>
      </c>
    </row>
    <row r="27" spans="1:8">
      <c r="A27" s="171"/>
      <c r="B27" s="109"/>
      <c r="C27" s="109"/>
      <c r="D27" s="109"/>
      <c r="E27" s="109"/>
      <c r="F27" s="109"/>
      <c r="G27" s="109"/>
      <c r="H27" s="109"/>
    </row>
    <row r="28" spans="1:8" ht="13.5" thickBot="1">
      <c r="A28" s="173" t="s">
        <v>135</v>
      </c>
      <c r="B28" s="188">
        <f t="shared" ref="B28:H28" si="7">IF(B25&gt;0,B25*B26,0)</f>
        <v>90</v>
      </c>
      <c r="C28" s="188">
        <f t="shared" si="7"/>
        <v>590</v>
      </c>
      <c r="D28" s="188">
        <f t="shared" si="7"/>
        <v>1090</v>
      </c>
      <c r="E28" s="188">
        <f t="shared" si="7"/>
        <v>1590</v>
      </c>
      <c r="F28" s="188">
        <f t="shared" si="7"/>
        <v>2090</v>
      </c>
      <c r="G28" s="188">
        <f t="shared" si="7"/>
        <v>3340</v>
      </c>
      <c r="H28" s="188">
        <f t="shared" si="7"/>
        <v>4590</v>
      </c>
    </row>
    <row r="29" spans="1:8">
      <c r="B29" s="65"/>
      <c r="C29" s="65"/>
      <c r="D29" s="65"/>
      <c r="E29" s="65"/>
      <c r="F29" s="65"/>
      <c r="G29" s="65"/>
      <c r="H29" s="65"/>
    </row>
    <row r="30" spans="1:8">
      <c r="A30" s="363" t="s">
        <v>482</v>
      </c>
      <c r="B30" s="363"/>
      <c r="C30" s="363"/>
      <c r="D30" s="363"/>
      <c r="F30" s="8"/>
      <c r="H30" s="21"/>
    </row>
    <row r="31" spans="1:8" ht="51.75" customHeight="1">
      <c r="A31" s="385" t="s">
        <v>735</v>
      </c>
      <c r="B31" s="385"/>
      <c r="C31" s="385"/>
      <c r="D31" s="385"/>
      <c r="E31" s="385"/>
      <c r="F31" s="385"/>
      <c r="G31" s="385"/>
      <c r="H31" s="385"/>
    </row>
    <row r="32" spans="1:8" ht="26.25" customHeight="1">
      <c r="A32" s="385" t="s">
        <v>263</v>
      </c>
      <c r="B32" s="385"/>
      <c r="C32" s="385"/>
      <c r="D32" s="385"/>
      <c r="E32" s="385"/>
      <c r="F32" s="385"/>
      <c r="G32" s="385"/>
      <c r="H32" s="385"/>
    </row>
    <row r="33" spans="1:8" ht="26.25" customHeight="1">
      <c r="A33" s="385" t="s">
        <v>264</v>
      </c>
      <c r="B33" s="385"/>
      <c r="C33" s="385"/>
      <c r="D33" s="385"/>
      <c r="E33" s="385"/>
      <c r="F33" s="385"/>
      <c r="G33" s="385"/>
      <c r="H33" s="385"/>
    </row>
    <row r="34" spans="1:8" ht="63" customHeight="1">
      <c r="A34" s="391" t="s">
        <v>592</v>
      </c>
      <c r="B34" s="391"/>
      <c r="C34" s="391"/>
      <c r="D34" s="391"/>
      <c r="E34" s="391"/>
      <c r="F34" s="391"/>
      <c r="G34" s="391"/>
      <c r="H34" s="391"/>
    </row>
    <row r="36" spans="1:8">
      <c r="A36" s="1" t="s">
        <v>184</v>
      </c>
    </row>
    <row r="37" spans="1:8">
      <c r="A37" s="5" t="s">
        <v>197</v>
      </c>
    </row>
  </sheetData>
  <mergeCells count="9">
    <mergeCell ref="A34:H34"/>
    <mergeCell ref="A31:H31"/>
    <mergeCell ref="A14:H14"/>
    <mergeCell ref="A30:D30"/>
    <mergeCell ref="A1:H1"/>
    <mergeCell ref="A2:F2"/>
    <mergeCell ref="A15:F15"/>
    <mergeCell ref="A32:H32"/>
    <mergeCell ref="A33:H33"/>
  </mergeCells>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H37"/>
  <sheetViews>
    <sheetView zoomScaleNormal="100" workbookViewId="0">
      <selection sqref="A1:H1"/>
    </sheetView>
  </sheetViews>
  <sheetFormatPr baseColWidth="10" defaultRowHeight="12.75"/>
  <cols>
    <col min="1" max="1" width="25.42578125" style="5" customWidth="1"/>
    <col min="2" max="8" width="8.7109375" style="5" customWidth="1"/>
    <col min="9" max="16384" width="11.42578125" style="5"/>
  </cols>
  <sheetData>
    <row r="1" spans="1:8" ht="15">
      <c r="A1" s="360" t="s">
        <v>554</v>
      </c>
      <c r="B1" s="360"/>
      <c r="C1" s="360"/>
      <c r="D1" s="360"/>
      <c r="E1" s="360"/>
      <c r="F1" s="360"/>
      <c r="G1" s="360"/>
      <c r="H1" s="360"/>
    </row>
    <row r="2" spans="1:8">
      <c r="A2" s="393" t="s">
        <v>752</v>
      </c>
      <c r="B2" s="393"/>
      <c r="C2" s="393"/>
      <c r="D2" s="393"/>
      <c r="H2" s="2" t="s">
        <v>149</v>
      </c>
    </row>
    <row r="3" spans="1:8">
      <c r="A3" s="35"/>
    </row>
    <row r="4" spans="1:8" ht="13.5" thickBot="1"/>
    <row r="5" spans="1:8">
      <c r="A5" s="119" t="s">
        <v>152</v>
      </c>
      <c r="B5" s="230">
        <v>0.04</v>
      </c>
      <c r="C5" s="230">
        <v>0.08</v>
      </c>
      <c r="D5" s="230">
        <v>0.12</v>
      </c>
      <c r="E5" s="230">
        <v>0.16</v>
      </c>
      <c r="F5" s="230">
        <v>0.2</v>
      </c>
      <c r="G5" s="230">
        <v>0.3</v>
      </c>
      <c r="H5" s="230">
        <v>0.4</v>
      </c>
    </row>
    <row r="6" spans="1:8">
      <c r="A6" s="171" t="s">
        <v>229</v>
      </c>
      <c r="B6" s="60">
        <f>2000000*B5</f>
        <v>80000</v>
      </c>
      <c r="C6" s="60">
        <f t="shared" ref="C6:H6" si="0">2000000*C5</f>
        <v>160000</v>
      </c>
      <c r="D6" s="60">
        <f t="shared" si="0"/>
        <v>240000</v>
      </c>
      <c r="E6" s="60">
        <f t="shared" si="0"/>
        <v>320000</v>
      </c>
      <c r="F6" s="60">
        <f t="shared" si="0"/>
        <v>400000</v>
      </c>
      <c r="G6" s="60">
        <f t="shared" si="0"/>
        <v>600000</v>
      </c>
      <c r="H6" s="60">
        <f t="shared" si="0"/>
        <v>800000</v>
      </c>
    </row>
    <row r="7" spans="1:8">
      <c r="A7" s="171"/>
      <c r="B7" s="60"/>
      <c r="C7" s="60"/>
      <c r="D7" s="60"/>
      <c r="E7" s="60"/>
      <c r="F7" s="60"/>
      <c r="G7" s="60"/>
      <c r="H7" s="231"/>
    </row>
    <row r="8" spans="1:8">
      <c r="A8" s="171" t="s">
        <v>135</v>
      </c>
      <c r="B8" s="124">
        <f>B28</f>
        <v>1800</v>
      </c>
      <c r="C8" s="124">
        <f t="shared" ref="C8:H8" si="1">C28</f>
        <v>11800</v>
      </c>
      <c r="D8" s="124">
        <f t="shared" si="1"/>
        <v>21800</v>
      </c>
      <c r="E8" s="124">
        <f t="shared" si="1"/>
        <v>31800</v>
      </c>
      <c r="F8" s="124">
        <f t="shared" si="1"/>
        <v>41800</v>
      </c>
      <c r="G8" s="124">
        <f t="shared" si="1"/>
        <v>66800</v>
      </c>
      <c r="H8" s="124">
        <f t="shared" si="1"/>
        <v>91800</v>
      </c>
    </row>
    <row r="9" spans="1:8" ht="13.5" thickBot="1">
      <c r="A9" s="173" t="s">
        <v>136</v>
      </c>
      <c r="B9" s="232">
        <f>B8/B6</f>
        <v>2.2499999999999999E-2</v>
      </c>
      <c r="C9" s="232">
        <f t="shared" ref="C9:H9" si="2">C8/C6</f>
        <v>7.3749999999999996E-2</v>
      </c>
      <c r="D9" s="232">
        <f t="shared" si="2"/>
        <v>9.0833333333333335E-2</v>
      </c>
      <c r="E9" s="232">
        <f t="shared" si="2"/>
        <v>9.9375000000000005E-2</v>
      </c>
      <c r="F9" s="232">
        <f t="shared" si="2"/>
        <v>0.1045</v>
      </c>
      <c r="G9" s="232">
        <f t="shared" si="2"/>
        <v>0.11133333333333334</v>
      </c>
      <c r="H9" s="232">
        <f t="shared" si="2"/>
        <v>0.11475</v>
      </c>
    </row>
    <row r="11" spans="1:8">
      <c r="B11" s="8"/>
      <c r="C11" s="8"/>
      <c r="D11" s="8"/>
      <c r="E11" s="8"/>
      <c r="F11" s="8"/>
      <c r="G11" s="8"/>
    </row>
    <row r="12" spans="1:8">
      <c r="B12" s="8"/>
      <c r="C12" s="8"/>
      <c r="D12" s="8"/>
      <c r="E12" s="8"/>
      <c r="F12" s="8"/>
      <c r="G12" s="8"/>
      <c r="H12" s="21"/>
    </row>
    <row r="13" spans="1:8">
      <c r="B13" s="8"/>
      <c r="C13" s="8"/>
      <c r="D13" s="8"/>
      <c r="E13" s="8"/>
      <c r="F13" s="8"/>
      <c r="G13" s="8"/>
    </row>
    <row r="14" spans="1:8" ht="15">
      <c r="A14" s="360" t="s">
        <v>555</v>
      </c>
      <c r="B14" s="360"/>
      <c r="C14" s="360"/>
      <c r="D14" s="360"/>
      <c r="E14" s="360"/>
      <c r="F14" s="360"/>
      <c r="G14" s="360"/>
      <c r="H14" s="360"/>
    </row>
    <row r="15" spans="1:8">
      <c r="A15" s="35" t="s">
        <v>749</v>
      </c>
      <c r="H15" s="2" t="s">
        <v>150</v>
      </c>
    </row>
    <row r="16" spans="1:8">
      <c r="B16" s="8"/>
      <c r="C16" s="8"/>
      <c r="D16" s="8"/>
      <c r="E16" s="8"/>
      <c r="F16" s="8"/>
      <c r="G16" s="8"/>
      <c r="H16" s="21"/>
    </row>
    <row r="17" spans="1:8" ht="13.5" thickBot="1">
      <c r="B17" s="8"/>
      <c r="C17" s="8"/>
      <c r="D17" s="8"/>
      <c r="E17" s="8"/>
      <c r="F17" s="8"/>
    </row>
    <row r="18" spans="1:8">
      <c r="A18" s="119" t="s">
        <v>152</v>
      </c>
      <c r="B18" s="230">
        <v>0.04</v>
      </c>
      <c r="C18" s="230">
        <v>0.08</v>
      </c>
      <c r="D18" s="230">
        <v>0.12</v>
      </c>
      <c r="E18" s="230">
        <v>0.16</v>
      </c>
      <c r="F18" s="230">
        <v>0.2</v>
      </c>
      <c r="G18" s="230">
        <v>0.3</v>
      </c>
      <c r="H18" s="230">
        <v>0.4</v>
      </c>
    </row>
    <row r="19" spans="1:8">
      <c r="A19" s="171" t="s">
        <v>229</v>
      </c>
      <c r="B19" s="60">
        <f>2000000*B18</f>
        <v>80000</v>
      </c>
      <c r="C19" s="60">
        <f t="shared" ref="C19:H19" si="3">2000000*C18</f>
        <v>160000</v>
      </c>
      <c r="D19" s="60">
        <f t="shared" si="3"/>
        <v>240000</v>
      </c>
      <c r="E19" s="60">
        <f t="shared" si="3"/>
        <v>320000</v>
      </c>
      <c r="F19" s="60">
        <f t="shared" si="3"/>
        <v>400000</v>
      </c>
      <c r="G19" s="60">
        <f t="shared" si="3"/>
        <v>600000</v>
      </c>
      <c r="H19" s="60">
        <f t="shared" si="3"/>
        <v>800000</v>
      </c>
    </row>
    <row r="20" spans="1:8">
      <c r="A20" s="171"/>
      <c r="B20" s="60"/>
      <c r="C20" s="60"/>
      <c r="D20" s="60"/>
      <c r="E20" s="60"/>
      <c r="F20" s="60"/>
      <c r="G20" s="60"/>
      <c r="H20" s="60"/>
    </row>
    <row r="21" spans="1:8">
      <c r="A21" s="171" t="s">
        <v>230</v>
      </c>
      <c r="B21" s="60">
        <f>2000000-0.06*6000000</f>
        <v>1640000</v>
      </c>
      <c r="C21" s="60">
        <f t="shared" ref="C21:H21" si="4">2000000-0.06*6000000</f>
        <v>1640000</v>
      </c>
      <c r="D21" s="60">
        <f t="shared" si="4"/>
        <v>1640000</v>
      </c>
      <c r="E21" s="60">
        <f t="shared" si="4"/>
        <v>1640000</v>
      </c>
      <c r="F21" s="60">
        <f t="shared" si="4"/>
        <v>1640000</v>
      </c>
      <c r="G21" s="60">
        <f t="shared" si="4"/>
        <v>1640000</v>
      </c>
      <c r="H21" s="60">
        <f t="shared" si="4"/>
        <v>1640000</v>
      </c>
    </row>
    <row r="22" spans="1:8">
      <c r="A22" s="171" t="s">
        <v>231</v>
      </c>
      <c r="B22" s="60">
        <f>B21*0.04</f>
        <v>65600</v>
      </c>
      <c r="C22" s="60">
        <f t="shared" ref="C22:H22" si="5">C21*0.04</f>
        <v>65600</v>
      </c>
      <c r="D22" s="60">
        <f t="shared" si="5"/>
        <v>65600</v>
      </c>
      <c r="E22" s="60">
        <f t="shared" si="5"/>
        <v>65600</v>
      </c>
      <c r="F22" s="60">
        <f t="shared" si="5"/>
        <v>65600</v>
      </c>
      <c r="G22" s="60">
        <f t="shared" si="5"/>
        <v>65600</v>
      </c>
      <c r="H22" s="60">
        <f t="shared" si="5"/>
        <v>65600</v>
      </c>
    </row>
    <row r="23" spans="1:8">
      <c r="A23" s="171"/>
      <c r="B23" s="60"/>
      <c r="C23" s="60"/>
      <c r="D23" s="60"/>
      <c r="E23" s="60"/>
      <c r="F23" s="60"/>
      <c r="G23" s="60"/>
      <c r="H23" s="60"/>
    </row>
    <row r="24" spans="1:8">
      <c r="A24" s="171"/>
      <c r="B24" s="60"/>
      <c r="C24" s="60"/>
      <c r="D24" s="60"/>
      <c r="E24" s="60"/>
      <c r="F24" s="60"/>
      <c r="G24" s="60"/>
      <c r="H24" s="60"/>
    </row>
    <row r="25" spans="1:8">
      <c r="A25" s="171" t="s">
        <v>232</v>
      </c>
      <c r="B25" s="39">
        <f t="shared" ref="B25:H25" si="6">B19-B22</f>
        <v>14400</v>
      </c>
      <c r="C25" s="60">
        <f t="shared" si="6"/>
        <v>94400</v>
      </c>
      <c r="D25" s="60">
        <f t="shared" si="6"/>
        <v>174400</v>
      </c>
      <c r="E25" s="60">
        <f t="shared" si="6"/>
        <v>254400</v>
      </c>
      <c r="F25" s="60">
        <f t="shared" si="6"/>
        <v>334400</v>
      </c>
      <c r="G25" s="60">
        <f t="shared" si="6"/>
        <v>534400</v>
      </c>
      <c r="H25" s="60">
        <f t="shared" si="6"/>
        <v>734400</v>
      </c>
    </row>
    <row r="26" spans="1:8">
      <c r="A26" s="171" t="s">
        <v>233</v>
      </c>
      <c r="B26" s="109">
        <v>0.125</v>
      </c>
      <c r="C26" s="109">
        <v>0.125</v>
      </c>
      <c r="D26" s="109">
        <v>0.125</v>
      </c>
      <c r="E26" s="109">
        <v>0.125</v>
      </c>
      <c r="F26" s="109">
        <v>0.125</v>
      </c>
      <c r="G26" s="109">
        <v>0.125</v>
      </c>
      <c r="H26" s="109">
        <v>0.125</v>
      </c>
    </row>
    <row r="27" spans="1:8">
      <c r="A27" s="171"/>
      <c r="B27" s="109"/>
      <c r="C27" s="109"/>
      <c r="D27" s="109"/>
      <c r="E27" s="109"/>
      <c r="F27" s="109"/>
      <c r="G27" s="109"/>
      <c r="H27" s="109"/>
    </row>
    <row r="28" spans="1:8" ht="13.5" thickBot="1">
      <c r="A28" s="173" t="s">
        <v>135</v>
      </c>
      <c r="B28" s="188">
        <f t="shared" ref="B28:H28" si="7">IF(B25/B26&gt;1200,B25*B26,1200)</f>
        <v>1800</v>
      </c>
      <c r="C28" s="188">
        <f t="shared" si="7"/>
        <v>11800</v>
      </c>
      <c r="D28" s="188">
        <f t="shared" si="7"/>
        <v>21800</v>
      </c>
      <c r="E28" s="188">
        <f t="shared" si="7"/>
        <v>31800</v>
      </c>
      <c r="F28" s="188">
        <f t="shared" si="7"/>
        <v>41800</v>
      </c>
      <c r="G28" s="188">
        <f t="shared" si="7"/>
        <v>66800</v>
      </c>
      <c r="H28" s="188">
        <f t="shared" si="7"/>
        <v>91800</v>
      </c>
    </row>
    <row r="29" spans="1:8">
      <c r="B29" s="65"/>
      <c r="C29" s="65"/>
      <c r="D29" s="65"/>
      <c r="E29" s="65"/>
      <c r="F29" s="65"/>
      <c r="G29" s="65"/>
      <c r="H29" s="65"/>
    </row>
    <row r="30" spans="1:8">
      <c r="A30" s="363" t="s">
        <v>482</v>
      </c>
      <c r="B30" s="363"/>
      <c r="C30" s="363"/>
      <c r="D30" s="363"/>
      <c r="F30" s="8"/>
      <c r="H30" s="21"/>
    </row>
    <row r="31" spans="1:8" ht="12.75" customHeight="1">
      <c r="A31" s="391" t="s">
        <v>739</v>
      </c>
      <c r="B31" s="391"/>
      <c r="C31" s="391"/>
      <c r="D31" s="391"/>
      <c r="E31" s="391"/>
      <c r="F31" s="391"/>
      <c r="G31" s="391"/>
      <c r="H31" s="391"/>
    </row>
    <row r="32" spans="1:8" ht="26.25" customHeight="1">
      <c r="A32" s="392" t="s">
        <v>263</v>
      </c>
      <c r="B32" s="392"/>
      <c r="C32" s="392"/>
      <c r="D32" s="392"/>
      <c r="E32" s="392"/>
      <c r="F32" s="392"/>
      <c r="G32" s="392"/>
      <c r="H32" s="392"/>
    </row>
    <row r="33" spans="1:8" ht="25.5" customHeight="1">
      <c r="A33" s="392" t="s">
        <v>264</v>
      </c>
      <c r="B33" s="392"/>
      <c r="C33" s="392"/>
      <c r="D33" s="392"/>
      <c r="E33" s="392"/>
      <c r="F33" s="392"/>
      <c r="G33" s="392"/>
      <c r="H33" s="392"/>
    </row>
    <row r="34" spans="1:8" ht="63" customHeight="1">
      <c r="A34" s="391" t="s">
        <v>593</v>
      </c>
      <c r="B34" s="391"/>
      <c r="C34" s="391"/>
      <c r="D34" s="391"/>
      <c r="E34" s="391"/>
      <c r="F34" s="391"/>
      <c r="G34" s="391"/>
      <c r="H34" s="391"/>
    </row>
    <row r="36" spans="1:8">
      <c r="A36" s="1" t="s">
        <v>184</v>
      </c>
    </row>
    <row r="37" spans="1:8">
      <c r="A37" s="5" t="s">
        <v>197</v>
      </c>
    </row>
  </sheetData>
  <mergeCells count="8">
    <mergeCell ref="A1:H1"/>
    <mergeCell ref="A14:H14"/>
    <mergeCell ref="A32:H32"/>
    <mergeCell ref="A33:H33"/>
    <mergeCell ref="A34:H34"/>
    <mergeCell ref="A2:D2"/>
    <mergeCell ref="A31:H31"/>
    <mergeCell ref="A30:D30"/>
  </mergeCells>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E34" sqref="E34"/>
    </sheetView>
  </sheetViews>
  <sheetFormatPr baseColWidth="10" defaultRowHeight="12.75"/>
  <sheetData>
    <row r="3" spans="1:1" ht="15">
      <c r="A3" s="90" t="s">
        <v>677</v>
      </c>
    </row>
  </sheetData>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0"/>
  <sheetViews>
    <sheetView zoomScaleNormal="100" workbookViewId="0">
      <selection activeCell="A22" sqref="A22"/>
    </sheetView>
  </sheetViews>
  <sheetFormatPr baseColWidth="10" defaultRowHeight="12.75"/>
  <cols>
    <col min="1" max="1" width="37.7109375" customWidth="1"/>
    <col min="2" max="4" width="15.7109375" customWidth="1"/>
    <col min="6" max="6" width="12.42578125" bestFit="1" customWidth="1"/>
  </cols>
  <sheetData>
    <row r="1" spans="1:6" ht="15">
      <c r="A1" s="360" t="s">
        <v>361</v>
      </c>
      <c r="B1" s="360"/>
      <c r="C1" s="360"/>
      <c r="D1" s="360"/>
    </row>
    <row r="2" spans="1:6">
      <c r="A2" s="5"/>
      <c r="D2" s="2" t="s">
        <v>368</v>
      </c>
    </row>
    <row r="3" spans="1:6" ht="13.5" thickBot="1">
      <c r="A3" s="20"/>
    </row>
    <row r="4" spans="1:6">
      <c r="A4" s="115"/>
      <c r="B4" s="117" t="s">
        <v>730</v>
      </c>
      <c r="C4" s="117" t="s">
        <v>748</v>
      </c>
      <c r="D4" s="140" t="s">
        <v>196</v>
      </c>
    </row>
    <row r="5" spans="1:6">
      <c r="A5" s="17"/>
      <c r="B5" s="17"/>
      <c r="C5" s="17"/>
      <c r="D5" s="17"/>
    </row>
    <row r="6" spans="1:6">
      <c r="A6" s="233" t="s">
        <v>362</v>
      </c>
      <c r="B6" s="59">
        <v>32992</v>
      </c>
      <c r="C6" s="59">
        <v>33301</v>
      </c>
      <c r="D6" s="18">
        <f>C6/B6-1</f>
        <v>9.3659068865179496E-3</v>
      </c>
    </row>
    <row r="7" spans="1:6">
      <c r="A7" s="233"/>
      <c r="B7" s="59"/>
      <c r="C7" s="59"/>
      <c r="D7" s="17"/>
    </row>
    <row r="8" spans="1:6">
      <c r="A8" s="17" t="s">
        <v>363</v>
      </c>
      <c r="B8" s="87"/>
      <c r="C8" s="87"/>
      <c r="D8" s="17"/>
    </row>
    <row r="9" spans="1:6">
      <c r="A9" s="214" t="s">
        <v>470</v>
      </c>
      <c r="B9" s="87">
        <v>471369</v>
      </c>
      <c r="C9" s="87">
        <v>471928</v>
      </c>
      <c r="D9" s="18">
        <f>C9/B9-1</f>
        <v>1.1859074313329554E-3</v>
      </c>
    </row>
    <row r="10" spans="1:6">
      <c r="A10" s="214" t="s">
        <v>471</v>
      </c>
      <c r="B10" s="187">
        <v>45273</v>
      </c>
      <c r="C10" s="330">
        <v>48404</v>
      </c>
      <c r="D10" s="18">
        <f>C10/B10-1</f>
        <v>6.915821792238197E-2</v>
      </c>
    </row>
    <row r="11" spans="1:6">
      <c r="A11" s="214" t="s">
        <v>365</v>
      </c>
      <c r="B11" s="234">
        <v>17.167715900000001</v>
      </c>
      <c r="C11" s="331">
        <v>16.3525122</v>
      </c>
      <c r="D11" s="18">
        <f>C11/B11-1</f>
        <v>-4.7484691891948261E-2</v>
      </c>
    </row>
    <row r="12" spans="1:6">
      <c r="A12" s="214" t="s">
        <v>366</v>
      </c>
      <c r="B12" s="235">
        <v>0.86688245100000005</v>
      </c>
      <c r="C12" s="235">
        <v>0.862695141</v>
      </c>
      <c r="D12" s="18">
        <f>C12/B12-1</f>
        <v>-4.8303088788679283E-3</v>
      </c>
    </row>
    <row r="13" spans="1:6">
      <c r="A13" s="17"/>
      <c r="B13" s="129"/>
      <c r="C13" s="129"/>
      <c r="D13" s="17"/>
    </row>
    <row r="14" spans="1:6">
      <c r="A14" s="17" t="s">
        <v>367</v>
      </c>
      <c r="B14" s="87"/>
      <c r="C14" s="87"/>
      <c r="D14" s="17"/>
      <c r="F14" s="5" t="s">
        <v>76</v>
      </c>
    </row>
    <row r="15" spans="1:6">
      <c r="A15" s="214" t="s">
        <v>470</v>
      </c>
      <c r="B15" s="87">
        <v>61722</v>
      </c>
      <c r="C15" s="87">
        <v>63010</v>
      </c>
      <c r="D15" s="18">
        <f>C15/B15-1</f>
        <v>2.0867761900132953E-2</v>
      </c>
    </row>
    <row r="16" spans="1:6">
      <c r="A16" s="214" t="s">
        <v>471</v>
      </c>
      <c r="B16" s="87">
        <v>52855</v>
      </c>
      <c r="C16" s="87">
        <v>53553</v>
      </c>
      <c r="D16" s="18">
        <f>C16/B16-1</f>
        <v>1.320594078138293E-2</v>
      </c>
    </row>
    <row r="17" spans="1:4">
      <c r="A17" s="214" t="s">
        <v>365</v>
      </c>
      <c r="B17" s="236">
        <v>2.0775707099999998</v>
      </c>
      <c r="C17" s="236">
        <v>2.08178814</v>
      </c>
      <c r="D17" s="18">
        <f>C17/B17-1</f>
        <v>2.0299814488624612E-3</v>
      </c>
    </row>
    <row r="18" spans="1:4" ht="13.5" thickBot="1">
      <c r="A18" s="237" t="s">
        <v>366</v>
      </c>
      <c r="B18" s="238">
        <v>0.41546182100000001</v>
      </c>
      <c r="C18" s="238">
        <v>0.41985749039999998</v>
      </c>
      <c r="D18" s="112">
        <f>C18/B18-1</f>
        <v>1.058020058117437E-2</v>
      </c>
    </row>
    <row r="19" spans="1:4">
      <c r="B19" s="23"/>
      <c r="C19" s="23"/>
    </row>
    <row r="20" spans="1:4">
      <c r="A20" s="329" t="s">
        <v>509</v>
      </c>
      <c r="B20" s="9"/>
      <c r="C20" s="9"/>
      <c r="D20" s="9"/>
    </row>
    <row r="21" spans="1:4" ht="38.25" customHeight="1">
      <c r="A21" s="384" t="s">
        <v>779</v>
      </c>
      <c r="B21" s="383"/>
      <c r="C21" s="383"/>
      <c r="D21" s="383"/>
    </row>
    <row r="22" spans="1:4">
      <c r="B22" s="23"/>
      <c r="C22" s="23"/>
    </row>
    <row r="23" spans="1:4">
      <c r="A23" s="363" t="s">
        <v>507</v>
      </c>
      <c r="B23" s="363"/>
      <c r="C23" s="363"/>
      <c r="D23" s="363"/>
    </row>
    <row r="24" spans="1:4" ht="25.5" customHeight="1">
      <c r="A24" s="384" t="s">
        <v>508</v>
      </c>
      <c r="B24" s="383"/>
      <c r="C24" s="383"/>
      <c r="D24" s="383"/>
    </row>
    <row r="25" spans="1:4">
      <c r="A25" s="9"/>
      <c r="B25" s="9"/>
      <c r="C25" s="9"/>
      <c r="D25" s="9"/>
    </row>
    <row r="26" spans="1:4">
      <c r="A26" s="1" t="s">
        <v>184</v>
      </c>
    </row>
    <row r="27" spans="1:4">
      <c r="A27" t="s">
        <v>197</v>
      </c>
    </row>
    <row r="31" spans="1:4">
      <c r="B31" s="44"/>
    </row>
    <row r="32" spans="1:4">
      <c r="B32" s="44"/>
    </row>
    <row r="33" spans="2:2">
      <c r="B33" s="13"/>
    </row>
    <row r="34" spans="2:2">
      <c r="B34" s="13"/>
    </row>
    <row r="37" spans="2:2">
      <c r="B37" s="44"/>
    </row>
    <row r="38" spans="2:2">
      <c r="B38" s="44"/>
    </row>
    <row r="39" spans="2:2">
      <c r="B39" s="13"/>
    </row>
    <row r="40" spans="2:2">
      <c r="B40" s="13"/>
    </row>
  </sheetData>
  <mergeCells count="4">
    <mergeCell ref="A23:D23"/>
    <mergeCell ref="A24:D24"/>
    <mergeCell ref="A21:D2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S53" sqref="S53"/>
    </sheetView>
  </sheetViews>
  <sheetFormatPr baseColWidth="10" defaultRowHeight="12.75"/>
  <sheetData>
    <row r="3" spans="1:1" ht="15">
      <c r="A3" s="90" t="s">
        <v>608</v>
      </c>
    </row>
  </sheetData>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34"/>
  <sheetViews>
    <sheetView zoomScaleNormal="100" workbookViewId="0">
      <selection activeCell="C6" sqref="C6"/>
    </sheetView>
  </sheetViews>
  <sheetFormatPr baseColWidth="10" defaultRowHeight="12.75"/>
  <cols>
    <col min="1" max="1" width="37.7109375" customWidth="1"/>
    <col min="2" max="4" width="15.7109375" customWidth="1"/>
  </cols>
  <sheetData>
    <row r="1" spans="1:4" ht="15">
      <c r="A1" s="360" t="s">
        <v>369</v>
      </c>
      <c r="B1" s="360"/>
      <c r="C1" s="360"/>
      <c r="D1" s="360"/>
    </row>
    <row r="2" spans="1:4">
      <c r="A2" s="5"/>
      <c r="D2" s="2" t="s">
        <v>371</v>
      </c>
    </row>
    <row r="3" spans="1:4" ht="13.5" thickBot="1">
      <c r="A3" s="20"/>
    </row>
    <row r="4" spans="1:4">
      <c r="A4" s="115"/>
      <c r="B4" s="117" t="s">
        <v>730</v>
      </c>
      <c r="C4" s="117" t="s">
        <v>748</v>
      </c>
      <c r="D4" s="140" t="s">
        <v>196</v>
      </c>
    </row>
    <row r="5" spans="1:4">
      <c r="A5" s="17"/>
      <c r="B5" s="17"/>
      <c r="C5" s="17"/>
      <c r="D5" s="17"/>
    </row>
    <row r="6" spans="1:4">
      <c r="A6" s="239" t="s">
        <v>370</v>
      </c>
      <c r="B6" s="59">
        <v>17211</v>
      </c>
      <c r="C6" s="59">
        <v>17408</v>
      </c>
      <c r="D6" s="176">
        <f>C6/B6-1</f>
        <v>1.1446168148277369E-2</v>
      </c>
    </row>
    <row r="7" spans="1:4">
      <c r="A7" s="233"/>
      <c r="B7" s="59"/>
      <c r="C7" s="59"/>
      <c r="D7" s="17"/>
    </row>
    <row r="8" spans="1:4">
      <c r="A8" s="17" t="s">
        <v>363</v>
      </c>
      <c r="B8" s="59"/>
      <c r="C8" s="59"/>
      <c r="D8" s="17"/>
    </row>
    <row r="9" spans="1:4">
      <c r="A9" s="214" t="s">
        <v>470</v>
      </c>
      <c r="B9" s="87">
        <v>903574</v>
      </c>
      <c r="C9" s="87">
        <v>902785</v>
      </c>
      <c r="D9" s="176">
        <f>C9/B9-1</f>
        <v>-8.731990960342273E-4</v>
      </c>
    </row>
    <row r="10" spans="1:4">
      <c r="A10" s="214" t="s">
        <v>471</v>
      </c>
      <c r="B10" s="87">
        <v>120108</v>
      </c>
      <c r="C10" s="87">
        <v>125755</v>
      </c>
      <c r="D10" s="176">
        <f>C10/B10-1</f>
        <v>4.7016018916308688E-2</v>
      </c>
    </row>
    <row r="11" spans="1:4">
      <c r="A11" s="214" t="s">
        <v>365</v>
      </c>
      <c r="B11" s="236">
        <v>12.7979152</v>
      </c>
      <c r="C11" s="236">
        <v>12.264108800000001</v>
      </c>
      <c r="D11" s="176">
        <f>C11/B11-1</f>
        <v>-4.1710418584426923E-2</v>
      </c>
    </row>
    <row r="12" spans="1:4">
      <c r="A12" s="214" t="s">
        <v>366</v>
      </c>
      <c r="B12" s="234">
        <v>0.84960328299999999</v>
      </c>
      <c r="C12" s="234">
        <v>0.84570111910000001</v>
      </c>
      <c r="D12" s="176">
        <f>C12/B12-1</f>
        <v>-4.5929246956546432E-3</v>
      </c>
    </row>
    <row r="13" spans="1:4">
      <c r="A13" s="17"/>
      <c r="B13" s="129"/>
      <c r="C13" s="129"/>
      <c r="D13" s="17"/>
    </row>
    <row r="14" spans="1:4">
      <c r="A14" s="17" t="s">
        <v>367</v>
      </c>
      <c r="B14" s="129"/>
      <c r="C14" s="129"/>
      <c r="D14" s="17"/>
    </row>
    <row r="15" spans="1:4">
      <c r="A15" s="214" t="s">
        <v>470</v>
      </c>
      <c r="B15" s="87">
        <v>118316</v>
      </c>
      <c r="C15" s="87">
        <v>120537</v>
      </c>
      <c r="D15" s="176">
        <f>C15/B15-1</f>
        <v>1.8771763751310067E-2</v>
      </c>
    </row>
    <row r="16" spans="1:4">
      <c r="A16" s="214" t="s">
        <v>471</v>
      </c>
      <c r="B16" s="87">
        <v>94693</v>
      </c>
      <c r="C16" s="87">
        <v>95880</v>
      </c>
      <c r="D16" s="176">
        <f>C16/B16-1</f>
        <v>1.253524547749052E-2</v>
      </c>
    </row>
    <row r="17" spans="1:4">
      <c r="A17" s="214" t="s">
        <v>365</v>
      </c>
      <c r="B17" s="236">
        <v>2.26741153</v>
      </c>
      <c r="C17" s="236">
        <v>2.2869733000000001</v>
      </c>
      <c r="D17" s="176">
        <f>C17/B17-1</f>
        <v>8.6273575578053041E-3</v>
      </c>
    </row>
    <row r="18" spans="1:4" ht="13.5" thickBot="1">
      <c r="A18" s="237" t="s">
        <v>366</v>
      </c>
      <c r="B18" s="240">
        <v>0.40322169899999999</v>
      </c>
      <c r="C18" s="240">
        <v>0.40835005699999999</v>
      </c>
      <c r="D18" s="241">
        <f>C18/B18-1</f>
        <v>1.2718457396311944E-2</v>
      </c>
    </row>
    <row r="19" spans="1:4">
      <c r="B19" s="23"/>
      <c r="C19" s="23"/>
    </row>
    <row r="20" spans="1:4">
      <c r="A20" s="1" t="s">
        <v>184</v>
      </c>
    </row>
    <row r="21" spans="1:4">
      <c r="A21" t="s">
        <v>197</v>
      </c>
    </row>
    <row r="25" spans="1:4">
      <c r="B25" s="44"/>
    </row>
    <row r="26" spans="1:4">
      <c r="B26" s="44"/>
    </row>
    <row r="27" spans="1:4">
      <c r="B27" s="13"/>
    </row>
    <row r="28" spans="1:4">
      <c r="B28" s="13"/>
    </row>
    <row r="31" spans="1:4">
      <c r="B31" s="44"/>
    </row>
    <row r="32" spans="1:4">
      <c r="B32" s="44"/>
    </row>
    <row r="33" spans="2:2">
      <c r="B33" s="13"/>
    </row>
    <row r="34" spans="2:2">
      <c r="B34" s="13"/>
    </row>
  </sheetData>
  <mergeCells count="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3"/>
  <sheetViews>
    <sheetView zoomScaleNormal="100" workbookViewId="0">
      <selection activeCell="C17" sqref="C17"/>
    </sheetView>
  </sheetViews>
  <sheetFormatPr baseColWidth="10" defaultRowHeight="12.75"/>
  <cols>
    <col min="1" max="1" width="22" customWidth="1"/>
    <col min="2" max="6" width="10.28515625" customWidth="1"/>
    <col min="7" max="7" width="11.140625" customWidth="1"/>
  </cols>
  <sheetData>
    <row r="1" spans="1:7" ht="15">
      <c r="A1" s="389" t="s">
        <v>390</v>
      </c>
      <c r="B1" s="394"/>
      <c r="C1" s="394"/>
      <c r="D1" s="394"/>
      <c r="E1" s="394"/>
      <c r="F1" s="394"/>
      <c r="G1" s="394"/>
    </row>
    <row r="2" spans="1:7">
      <c r="G2" s="2" t="s">
        <v>384</v>
      </c>
    </row>
    <row r="3" spans="1:7" ht="13.5" thickBot="1">
      <c r="A3" s="20"/>
    </row>
    <row r="4" spans="1:7">
      <c r="A4" s="108"/>
      <c r="B4" s="91" t="s">
        <v>730</v>
      </c>
      <c r="C4" s="108"/>
      <c r="D4" s="108"/>
      <c r="E4" s="91" t="s">
        <v>748</v>
      </c>
      <c r="F4" s="108"/>
      <c r="G4" s="108"/>
    </row>
    <row r="5" spans="1:7">
      <c r="A5" s="17"/>
      <c r="B5" s="17" t="s">
        <v>385</v>
      </c>
      <c r="C5" s="17" t="s">
        <v>386</v>
      </c>
      <c r="D5" s="17" t="s">
        <v>104</v>
      </c>
      <c r="E5" s="17" t="s">
        <v>385</v>
      </c>
      <c r="F5" s="17" t="s">
        <v>386</v>
      </c>
      <c r="G5" s="17" t="s">
        <v>104</v>
      </c>
    </row>
    <row r="6" spans="1:7">
      <c r="A6" s="242"/>
      <c r="B6" s="243" t="s">
        <v>387</v>
      </c>
      <c r="C6" s="243" t="s">
        <v>388</v>
      </c>
      <c r="D6" s="243" t="s">
        <v>389</v>
      </c>
      <c r="E6" s="243" t="s">
        <v>387</v>
      </c>
      <c r="F6" s="243" t="s">
        <v>388</v>
      </c>
      <c r="G6" s="243" t="s">
        <v>389</v>
      </c>
    </row>
    <row r="7" spans="1:7">
      <c r="A7" s="17"/>
      <c r="B7" s="17"/>
      <c r="C7" s="17"/>
      <c r="D7" s="17"/>
      <c r="E7" s="17"/>
      <c r="F7" s="17"/>
      <c r="G7" s="17"/>
    </row>
    <row r="8" spans="1:7">
      <c r="A8" s="93" t="s">
        <v>100</v>
      </c>
      <c r="B8" s="59">
        <v>32992</v>
      </c>
      <c r="C8" s="176">
        <v>1</v>
      </c>
      <c r="D8" s="59">
        <v>471369</v>
      </c>
      <c r="E8" s="59">
        <v>33301</v>
      </c>
      <c r="F8" s="176">
        <v>1</v>
      </c>
      <c r="G8" s="59">
        <v>471928</v>
      </c>
    </row>
    <row r="9" spans="1:7">
      <c r="A9" s="93" t="s">
        <v>375</v>
      </c>
      <c r="B9" s="59"/>
      <c r="C9" s="176"/>
      <c r="D9" s="59"/>
      <c r="E9" s="59"/>
      <c r="F9" s="176"/>
      <c r="G9" s="59"/>
    </row>
    <row r="10" spans="1:7">
      <c r="A10" s="214" t="s">
        <v>376</v>
      </c>
      <c r="B10" s="59">
        <v>16873</v>
      </c>
      <c r="C10" s="147">
        <v>0.51142701260911738</v>
      </c>
      <c r="D10" s="125">
        <v>9463</v>
      </c>
      <c r="E10" s="59">
        <v>16799</v>
      </c>
      <c r="F10" s="332">
        <v>0.50446000000000002</v>
      </c>
      <c r="G10" s="333">
        <v>9484</v>
      </c>
    </row>
    <row r="11" spans="1:7">
      <c r="A11" s="214" t="s">
        <v>377</v>
      </c>
      <c r="B11" s="59">
        <v>3190</v>
      </c>
      <c r="C11" s="176">
        <v>9.6690106692531516E-2</v>
      </c>
      <c r="D11" s="59">
        <v>73057</v>
      </c>
      <c r="E11" s="59">
        <v>3240</v>
      </c>
      <c r="F11" s="176">
        <v>9.7290000000000001E-2</v>
      </c>
      <c r="G11" s="59">
        <v>72673</v>
      </c>
    </row>
    <row r="12" spans="1:7">
      <c r="A12" s="214" t="s">
        <v>378</v>
      </c>
      <c r="B12" s="59">
        <v>3417</v>
      </c>
      <c r="C12" s="176">
        <v>0.10357056256062076</v>
      </c>
      <c r="D12" s="59">
        <v>144374</v>
      </c>
      <c r="E12" s="59">
        <v>3460</v>
      </c>
      <c r="F12" s="176">
        <v>0.10390000000000001</v>
      </c>
      <c r="G12" s="59">
        <v>145423</v>
      </c>
    </row>
    <row r="13" spans="1:7">
      <c r="A13" s="214" t="s">
        <v>379</v>
      </c>
      <c r="B13" s="59">
        <v>2159</v>
      </c>
      <c r="C13" s="176">
        <v>6.5440106692531516E-2</v>
      </c>
      <c r="D13" s="59">
        <v>246831</v>
      </c>
      <c r="E13" s="59">
        <v>2180</v>
      </c>
      <c r="F13" s="176">
        <v>6.5460000000000004E-2</v>
      </c>
      <c r="G13" s="59">
        <v>246562</v>
      </c>
    </row>
    <row r="14" spans="1:7">
      <c r="A14" s="214" t="s">
        <v>380</v>
      </c>
      <c r="B14" s="59">
        <v>1368</v>
      </c>
      <c r="C14" s="176">
        <v>4.1464597478176525E-2</v>
      </c>
      <c r="D14" s="59">
        <v>348814</v>
      </c>
      <c r="E14" s="59">
        <v>1438</v>
      </c>
      <c r="F14" s="176">
        <v>4.3180000000000003E-2</v>
      </c>
      <c r="G14" s="59">
        <v>348263</v>
      </c>
    </row>
    <row r="15" spans="1:7">
      <c r="A15" s="214" t="s">
        <v>381</v>
      </c>
      <c r="B15" s="59">
        <v>1047</v>
      </c>
      <c r="C15" s="176">
        <v>3.1734966052376336E-2</v>
      </c>
      <c r="D15" s="59">
        <v>447054</v>
      </c>
      <c r="E15" s="59">
        <v>1061</v>
      </c>
      <c r="F15" s="176">
        <v>3.1859999999999999E-2</v>
      </c>
      <c r="G15" s="59">
        <v>446381</v>
      </c>
    </row>
    <row r="16" spans="1:7">
      <c r="A16" s="214" t="s">
        <v>382</v>
      </c>
      <c r="B16" s="59">
        <v>2398</v>
      </c>
      <c r="C16" s="176">
        <v>7.2684287099903003E-2</v>
      </c>
      <c r="D16" s="59">
        <v>704211</v>
      </c>
      <c r="E16" s="59">
        <v>2492</v>
      </c>
      <c r="F16" s="176">
        <v>7.4829999999999994E-2</v>
      </c>
      <c r="G16" s="59">
        <v>699756</v>
      </c>
    </row>
    <row r="17" spans="1:7" ht="13.5" thickBot="1">
      <c r="A17" s="237" t="s">
        <v>383</v>
      </c>
      <c r="B17" s="136">
        <v>2540</v>
      </c>
      <c r="C17" s="241">
        <v>7.6988360814742973E-2</v>
      </c>
      <c r="D17" s="136">
        <v>4526971</v>
      </c>
      <c r="E17" s="136">
        <v>2631</v>
      </c>
      <c r="F17" s="241">
        <v>7.9009999999999997E-2</v>
      </c>
      <c r="G17" s="136">
        <v>4394535</v>
      </c>
    </row>
    <row r="19" spans="1:7">
      <c r="A19" s="329" t="s">
        <v>509</v>
      </c>
    </row>
    <row r="20" spans="1:7" ht="25.5" customHeight="1">
      <c r="A20" s="370" t="s">
        <v>755</v>
      </c>
      <c r="B20" s="371"/>
      <c r="C20" s="371"/>
      <c r="D20" s="371"/>
      <c r="E20" s="371"/>
      <c r="F20" s="371"/>
      <c r="G20" s="371"/>
    </row>
    <row r="22" spans="1:7">
      <c r="A22" s="1" t="s">
        <v>184</v>
      </c>
    </row>
    <row r="23" spans="1:7">
      <c r="A23" t="s">
        <v>197</v>
      </c>
    </row>
  </sheetData>
  <mergeCells count="2">
    <mergeCell ref="A1:G1"/>
    <mergeCell ref="A20:G20"/>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23"/>
  <sheetViews>
    <sheetView zoomScaleNormal="100" workbookViewId="0">
      <selection activeCell="D31" sqref="D31"/>
    </sheetView>
  </sheetViews>
  <sheetFormatPr baseColWidth="10" defaultRowHeight="12.75"/>
  <cols>
    <col min="1" max="5" width="17" customWidth="1"/>
    <col min="6" max="6" width="13" customWidth="1"/>
  </cols>
  <sheetData>
    <row r="1" spans="1:6" ht="15">
      <c r="A1" s="389" t="s">
        <v>402</v>
      </c>
      <c r="B1" s="394"/>
      <c r="C1" s="394"/>
    </row>
    <row r="2" spans="1:6">
      <c r="E2" s="2" t="s">
        <v>406</v>
      </c>
    </row>
    <row r="3" spans="1:6" ht="13.5" thickBot="1">
      <c r="A3" s="20"/>
    </row>
    <row r="4" spans="1:6">
      <c r="A4" s="108"/>
      <c r="B4" s="91" t="s">
        <v>730</v>
      </c>
      <c r="C4" s="108"/>
      <c r="D4" s="91" t="s">
        <v>748</v>
      </c>
      <c r="E4" s="108"/>
    </row>
    <row r="5" spans="1:6" ht="25.5">
      <c r="A5" s="244" t="s">
        <v>373</v>
      </c>
      <c r="B5" s="244" t="s">
        <v>404</v>
      </c>
      <c r="C5" s="244" t="s">
        <v>405</v>
      </c>
      <c r="D5" s="244" t="s">
        <v>404</v>
      </c>
      <c r="E5" s="244" t="s">
        <v>405</v>
      </c>
      <c r="F5" s="42"/>
    </row>
    <row r="6" spans="1:6">
      <c r="A6" s="250"/>
      <c r="B6" s="251" t="s">
        <v>388</v>
      </c>
      <c r="C6" s="251" t="s">
        <v>403</v>
      </c>
      <c r="D6" s="251" t="s">
        <v>388</v>
      </c>
      <c r="E6" s="251" t="s">
        <v>403</v>
      </c>
      <c r="F6" s="42"/>
    </row>
    <row r="7" spans="1:6">
      <c r="A7" s="17"/>
      <c r="B7" s="17"/>
      <c r="C7" s="17"/>
      <c r="D7" s="17"/>
      <c r="E7" s="17"/>
    </row>
    <row r="8" spans="1:6">
      <c r="A8" s="17" t="s">
        <v>392</v>
      </c>
      <c r="B8" s="245">
        <v>0</v>
      </c>
      <c r="C8" s="246">
        <v>0</v>
      </c>
      <c r="D8" s="245">
        <v>0</v>
      </c>
      <c r="E8" s="246">
        <v>0</v>
      </c>
    </row>
    <row r="9" spans="1:6">
      <c r="A9" s="17" t="s">
        <v>393</v>
      </c>
      <c r="B9" s="245">
        <v>2.1605763689020687E-8</v>
      </c>
      <c r="C9" s="247">
        <v>3.3599999999999998E-4</v>
      </c>
      <c r="D9" s="245">
        <v>3.9037000000000002E-7</v>
      </c>
      <c r="E9" s="247">
        <v>6.1349999999999998E-3</v>
      </c>
    </row>
    <row r="10" spans="1:6">
      <c r="A10" s="17" t="s">
        <v>394</v>
      </c>
      <c r="B10" s="245">
        <v>4.0857579424122568E-4</v>
      </c>
      <c r="C10" s="246">
        <v>6.3539279999999998</v>
      </c>
      <c r="D10" s="245">
        <v>4.5941999999999999E-4</v>
      </c>
      <c r="E10" s="246">
        <v>7.2201469999999999</v>
      </c>
    </row>
    <row r="11" spans="1:6">
      <c r="A11" s="17" t="s">
        <v>395</v>
      </c>
      <c r="B11" s="245">
        <v>2.6239151220536555E-3</v>
      </c>
      <c r="C11" s="246">
        <v>40.805568999999998</v>
      </c>
      <c r="D11" s="245">
        <v>2.8331300000000001E-3</v>
      </c>
      <c r="E11" s="246">
        <v>44.524487999999998</v>
      </c>
    </row>
    <row r="12" spans="1:6">
      <c r="A12" s="17" t="s">
        <v>396</v>
      </c>
      <c r="B12" s="245">
        <v>9.1086680068304341E-3</v>
      </c>
      <c r="C12" s="246">
        <v>141.652593</v>
      </c>
      <c r="D12" s="245">
        <v>9.6712499999999993E-3</v>
      </c>
      <c r="E12" s="246">
        <v>151.99032199999999</v>
      </c>
    </row>
    <row r="13" spans="1:6">
      <c r="A13" s="17" t="s">
        <v>397</v>
      </c>
      <c r="B13" s="245">
        <v>2.3578086466785594E-2</v>
      </c>
      <c r="C13" s="246">
        <v>366.672392</v>
      </c>
      <c r="D13" s="245">
        <v>2.4747709999999999E-2</v>
      </c>
      <c r="E13" s="246">
        <v>388.92705899999999</v>
      </c>
    </row>
    <row r="14" spans="1:6">
      <c r="A14" s="17" t="s">
        <v>398</v>
      </c>
      <c r="B14" s="245">
        <v>5.2199043122677403E-2</v>
      </c>
      <c r="C14" s="246">
        <v>811.768505</v>
      </c>
      <c r="D14" s="245">
        <v>5.4764529999999999E-2</v>
      </c>
      <c r="E14" s="246">
        <v>860.66189299999996</v>
      </c>
    </row>
    <row r="15" spans="1:6">
      <c r="A15" s="17" t="s">
        <v>399</v>
      </c>
      <c r="B15" s="359">
        <v>0.10706041178544104</v>
      </c>
      <c r="C15" s="246">
        <v>1664.9399149999999</v>
      </c>
      <c r="D15" s="334">
        <v>0.11159018</v>
      </c>
      <c r="E15" s="335">
        <v>1753.715653</v>
      </c>
    </row>
    <row r="16" spans="1:6">
      <c r="A16" s="17" t="s">
        <v>400</v>
      </c>
      <c r="B16" s="245">
        <v>0.21749770585917919</v>
      </c>
      <c r="C16" s="246">
        <v>3382.3950970000001</v>
      </c>
      <c r="D16" s="245">
        <v>0.22472503999999999</v>
      </c>
      <c r="E16" s="246">
        <v>3531.7068770000001</v>
      </c>
    </row>
    <row r="17" spans="1:5" ht="13.5" thickBot="1">
      <c r="A17" s="104" t="s">
        <v>401</v>
      </c>
      <c r="B17" s="248">
        <v>1</v>
      </c>
      <c r="C17" s="249">
        <v>15551.405858</v>
      </c>
      <c r="D17" s="248">
        <v>1</v>
      </c>
      <c r="E17" s="249">
        <v>15715.68031</v>
      </c>
    </row>
    <row r="19" spans="1:5">
      <c r="A19" s="329" t="s">
        <v>509</v>
      </c>
    </row>
    <row r="20" spans="1:5" ht="25.5" customHeight="1">
      <c r="A20" s="370" t="s">
        <v>754</v>
      </c>
      <c r="B20" s="371"/>
      <c r="C20" s="371"/>
      <c r="D20" s="371"/>
      <c r="E20" s="371"/>
    </row>
    <row r="22" spans="1:5">
      <c r="A22" s="1" t="s">
        <v>184</v>
      </c>
    </row>
    <row r="23" spans="1:5">
      <c r="A23" t="s">
        <v>197</v>
      </c>
    </row>
  </sheetData>
  <mergeCells count="2">
    <mergeCell ref="A1:C1"/>
    <mergeCell ref="A20:E20"/>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0"/>
  <sheetViews>
    <sheetView zoomScaleNormal="100" workbookViewId="0">
      <selection activeCell="B17" sqref="B17:G24"/>
    </sheetView>
  </sheetViews>
  <sheetFormatPr baseColWidth="10" defaultRowHeight="12.75"/>
  <cols>
    <col min="1" max="1" width="16.140625" customWidth="1"/>
    <col min="2" max="7" width="11.5703125" customWidth="1"/>
  </cols>
  <sheetData>
    <row r="1" spans="1:7" ht="15">
      <c r="A1" s="360" t="s">
        <v>475</v>
      </c>
      <c r="B1" s="360"/>
      <c r="C1" s="360"/>
      <c r="D1" s="360"/>
      <c r="E1" s="360"/>
      <c r="F1" s="360"/>
      <c r="G1" s="360"/>
    </row>
    <row r="2" spans="1:7">
      <c r="A2" s="5" t="s">
        <v>296</v>
      </c>
      <c r="G2" s="2" t="s">
        <v>413</v>
      </c>
    </row>
    <row r="3" spans="1:7" ht="13.5" thickBot="1">
      <c r="A3" s="20"/>
    </row>
    <row r="4" spans="1:7">
      <c r="A4" s="117" t="s">
        <v>731</v>
      </c>
      <c r="B4" s="117" t="s">
        <v>100</v>
      </c>
      <c r="C4" s="117" t="s">
        <v>407</v>
      </c>
      <c r="D4" s="117" t="s">
        <v>408</v>
      </c>
      <c r="E4" s="117" t="s">
        <v>409</v>
      </c>
      <c r="F4" s="117" t="s">
        <v>417</v>
      </c>
      <c r="G4" s="117" t="s">
        <v>416</v>
      </c>
    </row>
    <row r="5" spans="1:7">
      <c r="A5" s="17"/>
      <c r="B5" s="17"/>
      <c r="C5" s="17"/>
      <c r="D5" s="17"/>
      <c r="E5" s="17"/>
      <c r="F5" s="17"/>
      <c r="G5" s="17"/>
    </row>
    <row r="6" spans="1:7">
      <c r="A6" s="171" t="s">
        <v>104</v>
      </c>
      <c r="B6" s="125">
        <v>471369</v>
      </c>
      <c r="C6" s="59">
        <v>42550</v>
      </c>
      <c r="D6" s="59">
        <v>200051</v>
      </c>
      <c r="E6" s="59">
        <v>622132</v>
      </c>
      <c r="F6" s="59">
        <v>979221</v>
      </c>
      <c r="G6" s="59">
        <v>1412034</v>
      </c>
    </row>
    <row r="7" spans="1:7">
      <c r="A7" s="17" t="s">
        <v>414</v>
      </c>
      <c r="B7" s="194">
        <v>0</v>
      </c>
      <c r="C7" s="194">
        <v>0</v>
      </c>
      <c r="D7" s="194">
        <v>0</v>
      </c>
      <c r="E7" s="194">
        <v>0</v>
      </c>
      <c r="F7" s="194">
        <v>0</v>
      </c>
      <c r="G7" s="194">
        <v>0</v>
      </c>
    </row>
    <row r="8" spans="1:7">
      <c r="A8" s="171" t="s">
        <v>392</v>
      </c>
      <c r="B8" s="252">
        <v>0</v>
      </c>
      <c r="C8" s="252">
        <v>0</v>
      </c>
      <c r="D8" s="252">
        <v>0</v>
      </c>
      <c r="E8" s="252">
        <v>0</v>
      </c>
      <c r="F8" s="252">
        <v>0</v>
      </c>
      <c r="G8" s="194">
        <v>3052</v>
      </c>
    </row>
    <row r="9" spans="1:7">
      <c r="A9" s="171" t="s">
        <v>411</v>
      </c>
      <c r="B9" s="252">
        <v>1674</v>
      </c>
      <c r="C9" s="252">
        <v>0</v>
      </c>
      <c r="D9" s="252">
        <v>1155</v>
      </c>
      <c r="E9" s="125">
        <v>4333</v>
      </c>
      <c r="F9" s="125">
        <v>41573</v>
      </c>
      <c r="G9" s="59">
        <v>48411</v>
      </c>
    </row>
    <row r="10" spans="1:7">
      <c r="A10" s="17" t="s">
        <v>364</v>
      </c>
      <c r="B10" s="125">
        <v>45273</v>
      </c>
      <c r="C10" s="125">
        <v>4683</v>
      </c>
      <c r="D10" s="125">
        <v>32193</v>
      </c>
      <c r="E10" s="125">
        <v>97692</v>
      </c>
      <c r="F10" s="125">
        <v>205862</v>
      </c>
      <c r="G10" s="59">
        <v>194376</v>
      </c>
    </row>
    <row r="11" spans="1:7">
      <c r="A11" s="171" t="s">
        <v>412</v>
      </c>
      <c r="B11" s="59">
        <v>254340</v>
      </c>
      <c r="C11" s="59">
        <v>22191</v>
      </c>
      <c r="D11" s="59">
        <v>153440</v>
      </c>
      <c r="E11" s="59">
        <v>397723</v>
      </c>
      <c r="F11" s="125">
        <v>590462</v>
      </c>
      <c r="G11" s="59">
        <v>552763</v>
      </c>
    </row>
    <row r="12" spans="1:7">
      <c r="A12" s="171" t="s">
        <v>400</v>
      </c>
      <c r="B12" s="125">
        <v>777234</v>
      </c>
      <c r="C12" s="125">
        <v>67209</v>
      </c>
      <c r="D12" s="125">
        <v>457771</v>
      </c>
      <c r="E12" s="125">
        <v>1120965</v>
      </c>
      <c r="F12" s="125">
        <v>1584591</v>
      </c>
      <c r="G12" s="59">
        <v>1835173</v>
      </c>
    </row>
    <row r="13" spans="1:7" ht="13.5" thickBot="1">
      <c r="A13" s="104" t="s">
        <v>415</v>
      </c>
      <c r="B13" s="163">
        <v>1561983</v>
      </c>
      <c r="C13" s="163">
        <v>113641</v>
      </c>
      <c r="D13" s="163">
        <v>824435</v>
      </c>
      <c r="E13" s="163">
        <v>2212212</v>
      </c>
      <c r="F13" s="163">
        <v>3268824</v>
      </c>
      <c r="G13" s="136">
        <v>4137879</v>
      </c>
    </row>
    <row r="14" spans="1:7" ht="13.5" thickBot="1">
      <c r="B14" s="46"/>
      <c r="C14" s="46"/>
      <c r="D14" s="46"/>
      <c r="E14" s="46"/>
      <c r="F14" s="46"/>
    </row>
    <row r="15" spans="1:7">
      <c r="A15" s="117" t="s">
        <v>749</v>
      </c>
      <c r="B15" s="117" t="s">
        <v>100</v>
      </c>
      <c r="C15" s="117" t="s">
        <v>407</v>
      </c>
      <c r="D15" s="117" t="s">
        <v>408</v>
      </c>
      <c r="E15" s="117" t="s">
        <v>409</v>
      </c>
      <c r="F15" s="117" t="s">
        <v>417</v>
      </c>
      <c r="G15" s="117" t="s">
        <v>416</v>
      </c>
    </row>
    <row r="16" spans="1:7">
      <c r="A16" s="17"/>
      <c r="B16" s="17"/>
      <c r="C16" s="17"/>
      <c r="D16" s="17"/>
      <c r="E16" s="17"/>
      <c r="F16" s="17"/>
      <c r="G16" s="17"/>
    </row>
    <row r="17" spans="1:9">
      <c r="A17" s="171" t="s">
        <v>104</v>
      </c>
      <c r="B17" s="125">
        <v>471928</v>
      </c>
      <c r="C17" s="59">
        <v>46719</v>
      </c>
      <c r="D17" s="59">
        <v>193797</v>
      </c>
      <c r="E17" s="59">
        <v>626489</v>
      </c>
      <c r="F17" s="59">
        <v>967230</v>
      </c>
      <c r="G17" s="59">
        <v>1274306</v>
      </c>
      <c r="I17" s="83"/>
    </row>
    <row r="18" spans="1:9">
      <c r="A18" s="17" t="s">
        <v>414</v>
      </c>
      <c r="B18" s="194">
        <v>0</v>
      </c>
      <c r="C18" s="194">
        <v>0</v>
      </c>
      <c r="D18" s="194">
        <v>0</v>
      </c>
      <c r="E18" s="194">
        <v>0</v>
      </c>
      <c r="F18" s="194">
        <v>0</v>
      </c>
      <c r="G18" s="194">
        <v>0</v>
      </c>
      <c r="I18" s="83"/>
    </row>
    <row r="19" spans="1:9">
      <c r="A19" s="171" t="s">
        <v>392</v>
      </c>
      <c r="B19" s="252">
        <v>0</v>
      </c>
      <c r="C19" s="252">
        <v>0</v>
      </c>
      <c r="D19" s="252">
        <v>0</v>
      </c>
      <c r="E19" s="252">
        <v>0</v>
      </c>
      <c r="F19" s="252">
        <v>0</v>
      </c>
      <c r="G19" s="194">
        <v>3501</v>
      </c>
      <c r="I19" s="83"/>
    </row>
    <row r="20" spans="1:9">
      <c r="A20" s="171" t="s">
        <v>411</v>
      </c>
      <c r="B20" s="252">
        <v>1969</v>
      </c>
      <c r="C20" s="252">
        <v>0</v>
      </c>
      <c r="D20" s="252">
        <v>962</v>
      </c>
      <c r="E20" s="125">
        <v>5337</v>
      </c>
      <c r="F20" s="333">
        <v>41093</v>
      </c>
      <c r="G20" s="59">
        <v>53192</v>
      </c>
      <c r="I20" s="83"/>
    </row>
    <row r="21" spans="1:9">
      <c r="A21" s="17" t="s">
        <v>364</v>
      </c>
      <c r="B21" s="125">
        <v>48404</v>
      </c>
      <c r="C21" s="125">
        <v>5000</v>
      </c>
      <c r="D21" s="125">
        <v>30948</v>
      </c>
      <c r="E21" s="125">
        <v>103559</v>
      </c>
      <c r="F21" s="125">
        <v>212879</v>
      </c>
      <c r="G21" s="59">
        <v>202122</v>
      </c>
      <c r="I21" s="83"/>
    </row>
    <row r="22" spans="1:9">
      <c r="A22" s="171" t="s">
        <v>412</v>
      </c>
      <c r="B22" s="59">
        <v>262149</v>
      </c>
      <c r="C22" s="59">
        <v>24000</v>
      </c>
      <c r="D22" s="59">
        <v>151561</v>
      </c>
      <c r="E22" s="59">
        <v>417573</v>
      </c>
      <c r="F22" s="59">
        <v>604050</v>
      </c>
      <c r="G22" s="59">
        <v>545452</v>
      </c>
      <c r="I22" s="83"/>
    </row>
    <row r="23" spans="1:9">
      <c r="A23" s="171" t="s">
        <v>400</v>
      </c>
      <c r="B23" s="125">
        <v>791527</v>
      </c>
      <c r="C23" s="125">
        <v>67950</v>
      </c>
      <c r="D23" s="125">
        <v>430234</v>
      </c>
      <c r="E23" s="125">
        <v>1150674</v>
      </c>
      <c r="F23" s="125">
        <v>1640618</v>
      </c>
      <c r="G23" s="59">
        <v>1513363</v>
      </c>
      <c r="I23" s="83"/>
    </row>
    <row r="24" spans="1:9" ht="13.5" thickBot="1">
      <c r="A24" s="104" t="s">
        <v>415</v>
      </c>
      <c r="B24" s="163">
        <v>1578560</v>
      </c>
      <c r="C24" s="163">
        <v>119437</v>
      </c>
      <c r="D24" s="163">
        <v>805233</v>
      </c>
      <c r="E24" s="163">
        <v>2166863</v>
      </c>
      <c r="F24" s="336">
        <v>3424609</v>
      </c>
      <c r="G24" s="136">
        <v>3351746</v>
      </c>
      <c r="I24" s="83"/>
    </row>
    <row r="26" spans="1:9">
      <c r="A26" s="329" t="s">
        <v>509</v>
      </c>
    </row>
    <row r="27" spans="1:9" ht="38.25" customHeight="1">
      <c r="A27" s="370" t="s">
        <v>756</v>
      </c>
      <c r="B27" s="371"/>
      <c r="C27" s="371"/>
      <c r="D27" s="371"/>
      <c r="E27" s="371"/>
      <c r="F27" s="371"/>
      <c r="G27" s="371"/>
    </row>
    <row r="29" spans="1:9">
      <c r="A29" s="1" t="s">
        <v>184</v>
      </c>
    </row>
    <row r="30" spans="1:9">
      <c r="A30" t="s">
        <v>197</v>
      </c>
    </row>
  </sheetData>
  <mergeCells count="2">
    <mergeCell ref="A27:G27"/>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2"/>
  <sheetViews>
    <sheetView zoomScaleNormal="100" workbookViewId="0">
      <selection activeCell="B18" sqref="B18:G26"/>
    </sheetView>
  </sheetViews>
  <sheetFormatPr baseColWidth="10" defaultRowHeight="12.75"/>
  <cols>
    <col min="1" max="1" width="19.7109375" customWidth="1"/>
    <col min="2" max="7" width="11" customWidth="1"/>
  </cols>
  <sheetData>
    <row r="1" spans="1:7" ht="15">
      <c r="A1" s="389" t="s">
        <v>418</v>
      </c>
      <c r="B1" s="394"/>
      <c r="C1" s="394"/>
      <c r="D1" s="394"/>
      <c r="E1" s="394"/>
      <c r="F1" s="394"/>
    </row>
    <row r="2" spans="1:7">
      <c r="A2" s="5"/>
      <c r="G2" s="2" t="s">
        <v>419</v>
      </c>
    </row>
    <row r="3" spans="1:7" ht="13.5" thickBot="1">
      <c r="A3" s="20"/>
    </row>
    <row r="4" spans="1:7">
      <c r="A4" s="117" t="s">
        <v>731</v>
      </c>
      <c r="B4" s="117" t="s">
        <v>100</v>
      </c>
      <c r="C4" s="117" t="s">
        <v>407</v>
      </c>
      <c r="D4" s="117" t="s">
        <v>408</v>
      </c>
      <c r="E4" s="117" t="s">
        <v>409</v>
      </c>
      <c r="F4" s="117" t="s">
        <v>417</v>
      </c>
      <c r="G4" s="117" t="s">
        <v>416</v>
      </c>
    </row>
    <row r="5" spans="1:7">
      <c r="A5" s="17"/>
      <c r="B5" s="17"/>
      <c r="C5" s="17"/>
      <c r="D5" s="17"/>
      <c r="E5" s="17"/>
      <c r="F5" s="17"/>
      <c r="G5" s="17"/>
    </row>
    <row r="6" spans="1:7">
      <c r="A6" s="171" t="s">
        <v>100</v>
      </c>
      <c r="B6" s="147">
        <v>1</v>
      </c>
      <c r="C6" s="147">
        <v>1</v>
      </c>
      <c r="D6" s="147">
        <v>1</v>
      </c>
      <c r="E6" s="147">
        <v>1</v>
      </c>
      <c r="F6" s="147">
        <v>1</v>
      </c>
      <c r="G6" s="147">
        <v>1</v>
      </c>
    </row>
    <row r="7" spans="1:7">
      <c r="A7" s="17" t="s">
        <v>376</v>
      </c>
      <c r="B7" s="176">
        <v>0.51139999999999997</v>
      </c>
      <c r="C7" s="176">
        <v>0.86939999999999995</v>
      </c>
      <c r="D7" s="176">
        <v>0.56220000000000003</v>
      </c>
      <c r="E7" s="176">
        <v>0.40579999999999999</v>
      </c>
      <c r="F7" s="147">
        <v>0.27039999999999997</v>
      </c>
      <c r="G7" s="176">
        <v>0.25600000000000001</v>
      </c>
    </row>
    <row r="8" spans="1:7">
      <c r="A8" s="171" t="s">
        <v>377</v>
      </c>
      <c r="B8" s="147">
        <v>9.6699999999999994E-2</v>
      </c>
      <c r="C8" s="147">
        <v>7.1400000000000005E-2</v>
      </c>
      <c r="D8" s="147">
        <v>0.11269999999999999</v>
      </c>
      <c r="E8" s="147">
        <v>9.7500000000000003E-2</v>
      </c>
      <c r="F8" s="147">
        <v>9.1600000000000001E-2</v>
      </c>
      <c r="G8" s="176">
        <v>0.12470000000000001</v>
      </c>
    </row>
    <row r="9" spans="1:7">
      <c r="A9" s="171" t="s">
        <v>378</v>
      </c>
      <c r="B9" s="147">
        <v>0.1036</v>
      </c>
      <c r="C9" s="147">
        <v>3.5499999999999997E-2</v>
      </c>
      <c r="D9" s="147">
        <v>0.1139</v>
      </c>
      <c r="E9" s="147">
        <v>0.1164</v>
      </c>
      <c r="F9" s="147">
        <v>0.13170000000000001</v>
      </c>
      <c r="G9" s="176">
        <v>0.12330000000000001</v>
      </c>
    </row>
    <row r="10" spans="1:7">
      <c r="A10" s="17" t="s">
        <v>379</v>
      </c>
      <c r="B10" s="147">
        <v>6.54E-2</v>
      </c>
      <c r="C10" s="147">
        <v>9.4000000000000004E-3</v>
      </c>
      <c r="D10" s="147">
        <v>6.2799999999999995E-2</v>
      </c>
      <c r="E10" s="147">
        <v>8.09E-2</v>
      </c>
      <c r="F10" s="147">
        <v>9.7600000000000006E-2</v>
      </c>
      <c r="G10" s="176">
        <v>9.5200000000000007E-2</v>
      </c>
    </row>
    <row r="11" spans="1:7">
      <c r="A11" s="171" t="s">
        <v>380</v>
      </c>
      <c r="B11" s="176">
        <v>4.1500000000000002E-2</v>
      </c>
      <c r="C11" s="176">
        <v>4.0000000000000001E-3</v>
      </c>
      <c r="D11" s="176">
        <v>3.5499999999999997E-2</v>
      </c>
      <c r="E11" s="176">
        <v>5.04E-2</v>
      </c>
      <c r="F11" s="147">
        <v>6.9599999999999995E-2</v>
      </c>
      <c r="G11" s="176">
        <v>7.6399999999999996E-2</v>
      </c>
    </row>
    <row r="12" spans="1:7">
      <c r="A12" s="171" t="s">
        <v>381</v>
      </c>
      <c r="B12" s="147">
        <v>3.1699999999999999E-2</v>
      </c>
      <c r="C12" s="147">
        <v>2.3999999999999998E-3</v>
      </c>
      <c r="D12" s="147">
        <v>2.3099999999999999E-2</v>
      </c>
      <c r="E12" s="147">
        <v>4.4299999999999999E-2</v>
      </c>
      <c r="F12" s="147">
        <v>5.3699999999999998E-2</v>
      </c>
      <c r="G12" s="176">
        <v>4.6899999999999997E-2</v>
      </c>
    </row>
    <row r="13" spans="1:7">
      <c r="A13" s="17" t="s">
        <v>382</v>
      </c>
      <c r="B13" s="147">
        <v>7.2700000000000001E-2</v>
      </c>
      <c r="C13" s="147">
        <v>4.5999999999999999E-3</v>
      </c>
      <c r="D13" s="147">
        <v>5.16E-2</v>
      </c>
      <c r="E13" s="147">
        <v>9.3399999999999997E-2</v>
      </c>
      <c r="F13" s="147">
        <v>0.1333</v>
      </c>
      <c r="G13" s="176">
        <v>0.1381</v>
      </c>
    </row>
    <row r="14" spans="1:7" ht="13.5" thickBot="1">
      <c r="A14" s="104" t="s">
        <v>383</v>
      </c>
      <c r="B14" s="152">
        <v>7.6999999999999999E-2</v>
      </c>
      <c r="C14" s="152">
        <v>3.2000000000000002E-3</v>
      </c>
      <c r="D14" s="152">
        <v>3.8199999999999998E-2</v>
      </c>
      <c r="E14" s="152">
        <v>0.11119999999999999</v>
      </c>
      <c r="F14" s="152">
        <v>0.15210000000000001</v>
      </c>
      <c r="G14" s="241">
        <v>0.1394</v>
      </c>
    </row>
    <row r="15" spans="1:7" ht="13.5" thickBot="1">
      <c r="A15" s="17"/>
      <c r="B15" s="253"/>
      <c r="C15" s="253"/>
      <c r="D15" s="253"/>
      <c r="E15" s="253"/>
      <c r="F15" s="253"/>
      <c r="G15" s="17"/>
    </row>
    <row r="16" spans="1:7">
      <c r="A16" s="117" t="s">
        <v>749</v>
      </c>
      <c r="B16" s="117" t="s">
        <v>100</v>
      </c>
      <c r="C16" s="117" t="s">
        <v>407</v>
      </c>
      <c r="D16" s="117" t="s">
        <v>408</v>
      </c>
      <c r="E16" s="117" t="s">
        <v>409</v>
      </c>
      <c r="F16" s="117" t="s">
        <v>417</v>
      </c>
      <c r="G16" s="117" t="s">
        <v>416</v>
      </c>
    </row>
    <row r="17" spans="1:7">
      <c r="A17" s="17"/>
      <c r="B17" s="17"/>
      <c r="C17" s="17"/>
      <c r="D17" s="17"/>
      <c r="E17" s="17"/>
      <c r="F17" s="17"/>
      <c r="G17" s="17"/>
    </row>
    <row r="18" spans="1:7">
      <c r="A18" s="171" t="s">
        <v>100</v>
      </c>
      <c r="B18" s="147">
        <v>1</v>
      </c>
      <c r="C18" s="147">
        <v>1</v>
      </c>
      <c r="D18" s="147">
        <v>1</v>
      </c>
      <c r="E18" s="147">
        <v>1</v>
      </c>
      <c r="F18" s="147">
        <v>1</v>
      </c>
      <c r="G18" s="147">
        <v>1</v>
      </c>
    </row>
    <row r="19" spans="1:7">
      <c r="A19" s="17" t="s">
        <v>376</v>
      </c>
      <c r="B19" s="176">
        <v>0.50449999999999995</v>
      </c>
      <c r="C19" s="176">
        <v>0.86209999999999998</v>
      </c>
      <c r="D19" s="176">
        <v>0.5696</v>
      </c>
      <c r="E19" s="176">
        <v>0.39340000000000003</v>
      </c>
      <c r="F19" s="332">
        <v>0.2676</v>
      </c>
      <c r="G19" s="176">
        <v>0.2437</v>
      </c>
    </row>
    <row r="20" spans="1:7">
      <c r="A20" s="171" t="s">
        <v>377</v>
      </c>
      <c r="B20" s="147">
        <v>9.7299999999999998E-2</v>
      </c>
      <c r="C20" s="147">
        <v>7.6399999999999996E-2</v>
      </c>
      <c r="D20" s="147">
        <v>0.1104</v>
      </c>
      <c r="E20" s="147">
        <v>0.1</v>
      </c>
      <c r="F20" s="147">
        <v>9.06E-2</v>
      </c>
      <c r="G20" s="176">
        <v>0.1149</v>
      </c>
    </row>
    <row r="21" spans="1:7">
      <c r="A21" s="171" t="s">
        <v>378</v>
      </c>
      <c r="B21" s="147">
        <v>0.10390000000000001</v>
      </c>
      <c r="C21" s="147">
        <v>3.6799999999999999E-2</v>
      </c>
      <c r="D21" s="147">
        <v>0.1178</v>
      </c>
      <c r="E21" s="147">
        <v>0.1142</v>
      </c>
      <c r="F21" s="147">
        <v>0.126</v>
      </c>
      <c r="G21" s="176">
        <v>0.13009999999999999</v>
      </c>
    </row>
    <row r="22" spans="1:7">
      <c r="A22" s="17" t="s">
        <v>379</v>
      </c>
      <c r="B22" s="147">
        <v>6.5500000000000003E-2</v>
      </c>
      <c r="C22" s="147">
        <v>8.9999999999999993E-3</v>
      </c>
      <c r="D22" s="147">
        <v>5.9900000000000002E-2</v>
      </c>
      <c r="E22" s="147">
        <v>7.9299999999999995E-2</v>
      </c>
      <c r="F22" s="147">
        <v>0.1004</v>
      </c>
      <c r="G22" s="176">
        <v>0.10979999999999999</v>
      </c>
    </row>
    <row r="23" spans="1:7">
      <c r="A23" s="171" t="s">
        <v>380</v>
      </c>
      <c r="B23" s="176">
        <v>4.3200000000000002E-2</v>
      </c>
      <c r="C23" s="176">
        <v>4.8999999999999998E-3</v>
      </c>
      <c r="D23" s="176">
        <v>3.5000000000000003E-2</v>
      </c>
      <c r="E23" s="176">
        <v>5.6500000000000002E-2</v>
      </c>
      <c r="F23" s="176">
        <v>6.8500000000000005E-2</v>
      </c>
      <c r="G23" s="176">
        <v>6.9400000000000003E-2</v>
      </c>
    </row>
    <row r="24" spans="1:7">
      <c r="A24" s="171" t="s">
        <v>381</v>
      </c>
      <c r="B24" s="147">
        <v>3.1899999999999998E-2</v>
      </c>
      <c r="C24" s="147">
        <v>2.3E-3</v>
      </c>
      <c r="D24" s="147">
        <v>2.1299999999999999E-2</v>
      </c>
      <c r="E24" s="147">
        <v>4.3299999999999998E-2</v>
      </c>
      <c r="F24" s="147">
        <v>5.62E-2</v>
      </c>
      <c r="G24" s="176">
        <v>5.4300000000000001E-2</v>
      </c>
    </row>
    <row r="25" spans="1:7">
      <c r="A25" s="17" t="s">
        <v>382</v>
      </c>
      <c r="B25" s="147">
        <v>7.4800000000000005E-2</v>
      </c>
      <c r="C25" s="147">
        <v>4.7000000000000002E-3</v>
      </c>
      <c r="D25" s="147">
        <v>4.87E-2</v>
      </c>
      <c r="E25" s="147">
        <v>9.9900000000000003E-2</v>
      </c>
      <c r="F25" s="147">
        <v>0.1353</v>
      </c>
      <c r="G25" s="176">
        <v>0.1389</v>
      </c>
    </row>
    <row r="26" spans="1:7" ht="13.5" thickBot="1">
      <c r="A26" s="104" t="s">
        <v>383</v>
      </c>
      <c r="B26" s="152">
        <v>7.9000000000000001E-2</v>
      </c>
      <c r="C26" s="152">
        <v>3.8E-3</v>
      </c>
      <c r="D26" s="152">
        <v>3.73E-2</v>
      </c>
      <c r="E26" s="152">
        <v>0.1134</v>
      </c>
      <c r="F26" s="337">
        <v>0.15540000000000001</v>
      </c>
      <c r="G26" s="241">
        <v>0.1389</v>
      </c>
    </row>
    <row r="28" spans="1:7">
      <c r="A28" s="338" t="s">
        <v>509</v>
      </c>
    </row>
    <row r="29" spans="1:7" ht="38.25" customHeight="1">
      <c r="A29" s="391" t="s">
        <v>757</v>
      </c>
      <c r="B29" s="395"/>
      <c r="C29" s="395"/>
      <c r="D29" s="395"/>
      <c r="E29" s="395"/>
      <c r="F29" s="395"/>
      <c r="G29" s="395"/>
    </row>
    <row r="31" spans="1:7">
      <c r="A31" s="1" t="s">
        <v>184</v>
      </c>
    </row>
    <row r="32" spans="1:7">
      <c r="A32" t="s">
        <v>197</v>
      </c>
    </row>
  </sheetData>
  <mergeCells count="2">
    <mergeCell ref="A1:F1"/>
    <mergeCell ref="A29:G2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0"/>
  <sheetViews>
    <sheetView zoomScaleNormal="100" workbookViewId="0">
      <selection activeCell="C17" sqref="C17"/>
    </sheetView>
  </sheetViews>
  <sheetFormatPr baseColWidth="10" defaultRowHeight="12.75"/>
  <cols>
    <col min="1" max="1" width="16.140625" customWidth="1"/>
    <col min="2" max="7" width="11.5703125" customWidth="1"/>
  </cols>
  <sheetData>
    <row r="1" spans="1:7" ht="15">
      <c r="A1" s="389" t="s">
        <v>580</v>
      </c>
      <c r="B1" s="389"/>
      <c r="C1" s="389"/>
      <c r="D1" s="389"/>
      <c r="E1" s="389"/>
      <c r="F1" s="389"/>
    </row>
    <row r="2" spans="1:7">
      <c r="A2" s="5" t="s">
        <v>296</v>
      </c>
      <c r="G2" s="2" t="s">
        <v>572</v>
      </c>
    </row>
    <row r="3" spans="1:7" ht="13.5" thickBot="1">
      <c r="A3" s="20"/>
    </row>
    <row r="4" spans="1:7">
      <c r="A4" s="117" t="s">
        <v>731</v>
      </c>
      <c r="B4" s="117" t="s">
        <v>211</v>
      </c>
      <c r="C4" s="117" t="s">
        <v>566</v>
      </c>
      <c r="D4" s="117" t="s">
        <v>567</v>
      </c>
      <c r="E4" s="117" t="s">
        <v>568</v>
      </c>
      <c r="F4" s="117" t="s">
        <v>569</v>
      </c>
      <c r="G4" s="117" t="s">
        <v>214</v>
      </c>
    </row>
    <row r="5" spans="1:7">
      <c r="A5" s="17"/>
      <c r="B5" s="17"/>
      <c r="C5" s="17"/>
      <c r="D5" s="17"/>
      <c r="E5" s="17"/>
      <c r="F5" s="17"/>
      <c r="G5" s="17"/>
    </row>
    <row r="6" spans="1:7">
      <c r="A6" s="171" t="s">
        <v>104</v>
      </c>
      <c r="B6" s="125">
        <v>240014</v>
      </c>
      <c r="C6" s="59">
        <v>425421</v>
      </c>
      <c r="D6" s="59">
        <v>136040</v>
      </c>
      <c r="E6" s="59">
        <v>135242</v>
      </c>
      <c r="F6" s="59">
        <v>674008</v>
      </c>
      <c r="G6" s="59">
        <v>222836</v>
      </c>
    </row>
    <row r="7" spans="1:7">
      <c r="A7" s="17" t="s">
        <v>414</v>
      </c>
      <c r="B7" s="194">
        <v>0</v>
      </c>
      <c r="C7" s="194">
        <v>0</v>
      </c>
      <c r="D7" s="194">
        <v>0</v>
      </c>
      <c r="E7" s="194">
        <v>0</v>
      </c>
      <c r="F7" s="194">
        <v>0</v>
      </c>
      <c r="G7" s="194">
        <v>0</v>
      </c>
    </row>
    <row r="8" spans="1:7">
      <c r="A8" s="171" t="s">
        <v>392</v>
      </c>
      <c r="B8" s="252">
        <v>0</v>
      </c>
      <c r="C8" s="252">
        <v>583</v>
      </c>
      <c r="D8" s="252">
        <v>454</v>
      </c>
      <c r="E8" s="252">
        <v>0</v>
      </c>
      <c r="F8" s="252">
        <v>930</v>
      </c>
      <c r="G8" s="194">
        <v>0</v>
      </c>
    </row>
    <row r="9" spans="1:7">
      <c r="A9" s="171" t="s">
        <v>411</v>
      </c>
      <c r="B9" s="252">
        <v>0</v>
      </c>
      <c r="C9" s="252">
        <v>7662</v>
      </c>
      <c r="D9" s="252">
        <v>5336</v>
      </c>
      <c r="E9" s="252">
        <v>0</v>
      </c>
      <c r="F9" s="125">
        <v>13500</v>
      </c>
      <c r="G9" s="194">
        <v>0</v>
      </c>
    </row>
    <row r="10" spans="1:7">
      <c r="A10" s="17" t="s">
        <v>364</v>
      </c>
      <c r="B10" s="125">
        <v>13807</v>
      </c>
      <c r="C10" s="125">
        <v>51333</v>
      </c>
      <c r="D10" s="125">
        <v>31919</v>
      </c>
      <c r="E10" s="252">
        <v>0</v>
      </c>
      <c r="F10" s="125">
        <v>161929</v>
      </c>
      <c r="G10" s="194">
        <v>35</v>
      </c>
    </row>
    <row r="11" spans="1:7">
      <c r="A11" s="171" t="s">
        <v>412</v>
      </c>
      <c r="B11" s="59">
        <v>260081</v>
      </c>
      <c r="C11" s="59">
        <v>205931</v>
      </c>
      <c r="D11" s="125">
        <v>113952</v>
      </c>
      <c r="E11" s="59">
        <v>5790</v>
      </c>
      <c r="F11" s="125">
        <v>508863</v>
      </c>
      <c r="G11" s="59">
        <v>225500</v>
      </c>
    </row>
    <row r="12" spans="1:7">
      <c r="A12" s="171" t="s">
        <v>400</v>
      </c>
      <c r="B12" s="125">
        <v>565581</v>
      </c>
      <c r="C12" s="125">
        <v>629811</v>
      </c>
      <c r="D12" s="125">
        <v>289707</v>
      </c>
      <c r="E12" s="125">
        <v>115132</v>
      </c>
      <c r="F12" s="125">
        <v>1197306</v>
      </c>
      <c r="G12" s="59">
        <v>541577</v>
      </c>
    </row>
    <row r="13" spans="1:7" ht="13.5" thickBot="1">
      <c r="A13" s="104" t="s">
        <v>415</v>
      </c>
      <c r="B13" s="163">
        <v>924041</v>
      </c>
      <c r="C13" s="163">
        <v>1346751</v>
      </c>
      <c r="D13" s="163">
        <v>494808</v>
      </c>
      <c r="E13" s="163">
        <v>352438</v>
      </c>
      <c r="F13" s="163">
        <v>2240674</v>
      </c>
      <c r="G13" s="136">
        <v>869449</v>
      </c>
    </row>
    <row r="14" spans="1:7" ht="13.5" thickBot="1">
      <c r="B14" s="33"/>
      <c r="C14" s="33"/>
      <c r="D14" s="33"/>
      <c r="E14" s="33"/>
      <c r="F14" s="33"/>
      <c r="G14" s="3"/>
    </row>
    <row r="15" spans="1:7">
      <c r="A15" s="117" t="s">
        <v>749</v>
      </c>
      <c r="B15" s="117" t="s">
        <v>211</v>
      </c>
      <c r="C15" s="117" t="s">
        <v>566</v>
      </c>
      <c r="D15" s="117" t="s">
        <v>567</v>
      </c>
      <c r="E15" s="117" t="s">
        <v>568</v>
      </c>
      <c r="F15" s="117" t="s">
        <v>569</v>
      </c>
      <c r="G15" s="117" t="s">
        <v>214</v>
      </c>
    </row>
    <row r="16" spans="1:7">
      <c r="A16" s="17"/>
      <c r="B16" s="17"/>
      <c r="C16" s="17"/>
      <c r="D16" s="17"/>
      <c r="E16" s="17"/>
      <c r="F16" s="17"/>
      <c r="G16" s="17"/>
    </row>
    <row r="17" spans="1:7">
      <c r="A17" s="171" t="s">
        <v>104</v>
      </c>
      <c r="B17" s="125">
        <v>249575</v>
      </c>
      <c r="C17" s="59">
        <v>420016</v>
      </c>
      <c r="D17" s="59">
        <v>143567</v>
      </c>
      <c r="E17" s="59">
        <v>124503</v>
      </c>
      <c r="F17" s="59">
        <v>678104</v>
      </c>
      <c r="G17" s="59">
        <v>226783</v>
      </c>
    </row>
    <row r="18" spans="1:7">
      <c r="A18" s="17" t="s">
        <v>414</v>
      </c>
      <c r="B18" s="194">
        <v>0</v>
      </c>
      <c r="C18" s="194">
        <v>0</v>
      </c>
      <c r="D18" s="194">
        <v>0</v>
      </c>
      <c r="E18" s="194">
        <v>0</v>
      </c>
      <c r="F18" s="194">
        <v>0</v>
      </c>
      <c r="G18" s="194">
        <v>0</v>
      </c>
    </row>
    <row r="19" spans="1:7">
      <c r="A19" s="171" t="s">
        <v>392</v>
      </c>
      <c r="B19" s="252">
        <v>0</v>
      </c>
      <c r="C19" s="252">
        <v>692</v>
      </c>
      <c r="D19" s="252">
        <v>511</v>
      </c>
      <c r="E19" s="252">
        <v>0</v>
      </c>
      <c r="F19" s="252">
        <v>1000</v>
      </c>
      <c r="G19" s="194">
        <v>0</v>
      </c>
    </row>
    <row r="20" spans="1:7">
      <c r="A20" s="171" t="s">
        <v>411</v>
      </c>
      <c r="B20" s="252">
        <v>0</v>
      </c>
      <c r="C20" s="252">
        <v>8150</v>
      </c>
      <c r="D20" s="252">
        <v>5628</v>
      </c>
      <c r="E20" s="252">
        <v>0</v>
      </c>
      <c r="F20" s="125">
        <v>14501</v>
      </c>
      <c r="G20" s="194">
        <v>0</v>
      </c>
    </row>
    <row r="21" spans="1:7">
      <c r="A21" s="17" t="s">
        <v>364</v>
      </c>
      <c r="B21" s="125">
        <v>14489</v>
      </c>
      <c r="C21" s="125">
        <v>54335</v>
      </c>
      <c r="D21" s="125">
        <v>32589</v>
      </c>
      <c r="E21" s="252">
        <v>0</v>
      </c>
      <c r="F21" s="125">
        <v>166245</v>
      </c>
      <c r="G21" s="194">
        <v>24</v>
      </c>
    </row>
    <row r="22" spans="1:7">
      <c r="A22" s="171" t="s">
        <v>412</v>
      </c>
      <c r="B22" s="59">
        <v>267745</v>
      </c>
      <c r="C22" s="59">
        <v>211901</v>
      </c>
      <c r="D22" s="333">
        <v>117091</v>
      </c>
      <c r="E22" s="59">
        <v>7375</v>
      </c>
      <c r="F22" s="125">
        <v>518043</v>
      </c>
      <c r="G22" s="59">
        <v>229338</v>
      </c>
    </row>
    <row r="23" spans="1:7">
      <c r="A23" s="171" t="s">
        <v>400</v>
      </c>
      <c r="B23" s="125">
        <v>585994</v>
      </c>
      <c r="C23" s="125">
        <v>632889</v>
      </c>
      <c r="D23" s="125">
        <v>297830</v>
      </c>
      <c r="E23" s="125">
        <v>117082</v>
      </c>
      <c r="F23" s="125">
        <v>1212913</v>
      </c>
      <c r="G23" s="59">
        <v>545633</v>
      </c>
    </row>
    <row r="24" spans="1:7" ht="13.5" thickBot="1">
      <c r="A24" s="104" t="s">
        <v>415</v>
      </c>
      <c r="B24" s="163">
        <v>960010</v>
      </c>
      <c r="C24" s="163">
        <v>1344621</v>
      </c>
      <c r="D24" s="163">
        <v>499135</v>
      </c>
      <c r="E24" s="163">
        <v>352054</v>
      </c>
      <c r="F24" s="163">
        <v>2244702</v>
      </c>
      <c r="G24" s="136">
        <v>884167</v>
      </c>
    </row>
    <row r="26" spans="1:7">
      <c r="A26" s="329" t="s">
        <v>509</v>
      </c>
    </row>
    <row r="27" spans="1:7" ht="26.25" customHeight="1">
      <c r="A27" s="384" t="str">
        <f xml:space="preserve"> "Drei Viertel der Steuerpflichtigen weisen für das Steuerjahr "&amp;RIGHT(A15,4)&amp;" Bankguthaben von weniger als CHF "&amp;D22&amp;" aus."</f>
        <v>Drei Viertel der Steuerpflichtigen weisen für das Steuerjahr 2019 Bankguthaben von weniger als CHF 117091 aus.</v>
      </c>
      <c r="B27" s="383"/>
      <c r="C27" s="383"/>
      <c r="D27" s="383"/>
      <c r="E27" s="383"/>
      <c r="F27" s="383"/>
      <c r="G27" s="383"/>
    </row>
    <row r="29" spans="1:7">
      <c r="A29" s="1" t="s">
        <v>184</v>
      </c>
    </row>
    <row r="30" spans="1:7">
      <c r="A30" t="s">
        <v>197</v>
      </c>
    </row>
  </sheetData>
  <mergeCells count="2">
    <mergeCell ref="A27:G27"/>
    <mergeCell ref="A1:F1"/>
  </mergeCells>
  <pageMargins left="0.7" right="0.7" top="0.78740157499999996" bottom="0.78740157499999996"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33"/>
  <sheetViews>
    <sheetView zoomScaleNormal="100" workbookViewId="0">
      <selection activeCell="C17" sqref="C17"/>
    </sheetView>
  </sheetViews>
  <sheetFormatPr baseColWidth="10" defaultRowHeight="12.75"/>
  <cols>
    <col min="1" max="1" width="19.7109375" customWidth="1"/>
    <col min="2" max="10" width="7.7109375" customWidth="1"/>
  </cols>
  <sheetData>
    <row r="1" spans="1:11" ht="15">
      <c r="A1" s="360" t="s">
        <v>570</v>
      </c>
      <c r="B1" s="360"/>
      <c r="C1" s="360"/>
      <c r="D1" s="360"/>
      <c r="E1" s="360"/>
      <c r="F1" s="360"/>
      <c r="G1" s="360"/>
      <c r="H1" s="360"/>
      <c r="I1" s="360"/>
    </row>
    <row r="2" spans="1:11" ht="13.5" thickBot="1">
      <c r="A2" s="5"/>
      <c r="J2" s="2" t="s">
        <v>571</v>
      </c>
    </row>
    <row r="3" spans="1:11">
      <c r="A3" s="142"/>
      <c r="B3" s="91" t="s">
        <v>214</v>
      </c>
      <c r="C3" s="108"/>
      <c r="D3" s="108"/>
      <c r="E3" s="108"/>
      <c r="F3" s="108"/>
      <c r="G3" s="108"/>
      <c r="H3" s="108"/>
      <c r="I3" s="108"/>
      <c r="J3" s="108"/>
    </row>
    <row r="4" spans="1:11">
      <c r="A4" s="254" t="s">
        <v>731</v>
      </c>
      <c r="B4" s="255" t="s">
        <v>100</v>
      </c>
      <c r="C4" s="255" t="s">
        <v>376</v>
      </c>
      <c r="D4" s="256" t="s">
        <v>377</v>
      </c>
      <c r="E4" s="256" t="s">
        <v>378</v>
      </c>
      <c r="F4" s="255" t="s">
        <v>379</v>
      </c>
      <c r="G4" s="256" t="s">
        <v>380</v>
      </c>
      <c r="H4" s="256" t="s">
        <v>381</v>
      </c>
      <c r="I4" s="255" t="s">
        <v>382</v>
      </c>
      <c r="J4" s="257" t="s">
        <v>383</v>
      </c>
    </row>
    <row r="5" spans="1:11">
      <c r="A5" s="179" t="s">
        <v>569</v>
      </c>
      <c r="B5" s="145"/>
      <c r="C5" s="145"/>
      <c r="D5" s="145"/>
      <c r="E5" s="145"/>
      <c r="F5" s="145"/>
      <c r="G5" s="145"/>
      <c r="H5" s="17"/>
      <c r="I5" s="17"/>
      <c r="J5" s="17"/>
    </row>
    <row r="6" spans="1:11">
      <c r="A6" s="121" t="s">
        <v>100</v>
      </c>
      <c r="B6" s="147">
        <v>1</v>
      </c>
      <c r="C6" s="147">
        <v>0.60550000000000004</v>
      </c>
      <c r="D6" s="147">
        <v>4.3299999999999998E-2</v>
      </c>
      <c r="E6" s="147">
        <v>8.1299999999999997E-2</v>
      </c>
      <c r="F6" s="147">
        <v>7.2499999999999995E-2</v>
      </c>
      <c r="G6" s="147">
        <v>5.1299999999999998E-2</v>
      </c>
      <c r="H6" s="147">
        <v>3.6799999999999999E-2</v>
      </c>
      <c r="I6" s="147">
        <v>6.88E-2</v>
      </c>
      <c r="J6" s="147">
        <v>4.0399999999999998E-2</v>
      </c>
    </row>
    <row r="7" spans="1:11">
      <c r="A7" s="145" t="s">
        <v>376</v>
      </c>
      <c r="B7" s="147">
        <v>0.36749999999999999</v>
      </c>
      <c r="C7" s="147">
        <v>0.36020000000000002</v>
      </c>
      <c r="D7" s="147">
        <v>3.3999999999999998E-3</v>
      </c>
      <c r="E7" s="147">
        <v>2E-3</v>
      </c>
      <c r="F7" s="147">
        <v>6.9999999999999999E-4</v>
      </c>
      <c r="G7" s="147">
        <v>5.0000000000000001E-4</v>
      </c>
      <c r="H7" s="147">
        <v>2.9999999999999997E-4</v>
      </c>
      <c r="I7" s="147">
        <v>1E-4</v>
      </c>
      <c r="J7" s="147">
        <v>2.0000000000000001E-4</v>
      </c>
      <c r="K7" s="20"/>
    </row>
    <row r="8" spans="1:11">
      <c r="A8" s="121" t="s">
        <v>377</v>
      </c>
      <c r="B8" s="147">
        <v>7.4899999999999994E-2</v>
      </c>
      <c r="C8" s="147">
        <v>6.3299999999999995E-2</v>
      </c>
      <c r="D8" s="147">
        <v>4.5999999999999999E-3</v>
      </c>
      <c r="E8" s="147">
        <v>4.0000000000000001E-3</v>
      </c>
      <c r="F8" s="147">
        <v>1.9E-3</v>
      </c>
      <c r="G8" s="147">
        <v>6.9999999999999999E-4</v>
      </c>
      <c r="H8" s="147">
        <v>2.0000000000000001E-4</v>
      </c>
      <c r="I8" s="147">
        <v>2.0000000000000001E-4</v>
      </c>
      <c r="J8" s="147">
        <v>0</v>
      </c>
      <c r="K8" s="20"/>
    </row>
    <row r="9" spans="1:11">
      <c r="A9" s="121" t="s">
        <v>378</v>
      </c>
      <c r="B9" s="147">
        <v>9.1700000000000004E-2</v>
      </c>
      <c r="C9" s="147">
        <v>5.2999999999999999E-2</v>
      </c>
      <c r="D9" s="147">
        <v>9.7999999999999997E-3</v>
      </c>
      <c r="E9" s="147">
        <v>1.3899999999999999E-2</v>
      </c>
      <c r="F9" s="147">
        <v>9.4000000000000004E-3</v>
      </c>
      <c r="G9" s="147">
        <v>2.8999999999999998E-3</v>
      </c>
      <c r="H9" s="147">
        <v>1.2999999999999999E-3</v>
      </c>
      <c r="I9" s="147">
        <v>1.2999999999999999E-3</v>
      </c>
      <c r="J9" s="147">
        <v>1E-4</v>
      </c>
      <c r="K9" s="20"/>
    </row>
    <row r="10" spans="1:11">
      <c r="A10" s="145" t="s">
        <v>379</v>
      </c>
      <c r="B10" s="147">
        <v>8.8300000000000003E-2</v>
      </c>
      <c r="C10" s="147">
        <v>3.09E-2</v>
      </c>
      <c r="D10" s="147">
        <v>6.7999999999999996E-3</v>
      </c>
      <c r="E10" s="147">
        <v>1.9400000000000001E-2</v>
      </c>
      <c r="F10" s="147">
        <v>1.8100000000000002E-2</v>
      </c>
      <c r="G10" s="147">
        <v>7.7999999999999996E-3</v>
      </c>
      <c r="H10" s="147">
        <v>2.8999999999999998E-3</v>
      </c>
      <c r="I10" s="147">
        <v>2E-3</v>
      </c>
      <c r="J10" s="147">
        <v>2.9999999999999997E-4</v>
      </c>
      <c r="K10" s="20"/>
    </row>
    <row r="11" spans="1:11">
      <c r="A11" s="121" t="s">
        <v>380</v>
      </c>
      <c r="B11" s="147">
        <v>6.7900000000000002E-2</v>
      </c>
      <c r="C11" s="147">
        <v>1.8200000000000001E-2</v>
      </c>
      <c r="D11" s="147">
        <v>4.8999999999999998E-3</v>
      </c>
      <c r="E11" s="147">
        <v>1.2E-2</v>
      </c>
      <c r="F11" s="147">
        <v>1.29E-2</v>
      </c>
      <c r="G11" s="147">
        <v>1.03E-2</v>
      </c>
      <c r="H11" s="147">
        <v>5.1999999999999998E-3</v>
      </c>
      <c r="I11" s="147">
        <v>4.1999999999999997E-3</v>
      </c>
      <c r="J11" s="147">
        <v>2.9999999999999997E-4</v>
      </c>
      <c r="K11" s="20"/>
    </row>
    <row r="12" spans="1:11">
      <c r="A12" s="121" t="s">
        <v>381</v>
      </c>
      <c r="B12" s="147">
        <v>5.5500000000000001E-2</v>
      </c>
      <c r="C12" s="147">
        <v>1.35E-2</v>
      </c>
      <c r="D12" s="147">
        <v>3.2000000000000002E-3</v>
      </c>
      <c r="E12" s="147">
        <v>8.0000000000000002E-3</v>
      </c>
      <c r="F12" s="147">
        <v>8.2000000000000007E-3</v>
      </c>
      <c r="G12" s="147">
        <v>9.4000000000000004E-3</v>
      </c>
      <c r="H12" s="147">
        <v>7.0000000000000001E-3</v>
      </c>
      <c r="I12" s="147">
        <v>5.8999999999999999E-3</v>
      </c>
      <c r="J12" s="147">
        <v>2.0000000000000001E-4</v>
      </c>
      <c r="K12" s="20"/>
    </row>
    <row r="13" spans="1:11">
      <c r="A13" s="145" t="s">
        <v>382</v>
      </c>
      <c r="B13" s="147">
        <v>0.13270000000000001</v>
      </c>
      <c r="C13" s="147">
        <v>3.49E-2</v>
      </c>
      <c r="D13" s="147">
        <v>6.1999999999999998E-3</v>
      </c>
      <c r="E13" s="147">
        <v>1.4999999999999999E-2</v>
      </c>
      <c r="F13" s="147">
        <v>1.4E-2</v>
      </c>
      <c r="G13" s="147">
        <v>1.3299999999999999E-2</v>
      </c>
      <c r="H13" s="147">
        <v>1.32E-2</v>
      </c>
      <c r="I13" s="147">
        <v>3.1399999999999997E-2</v>
      </c>
      <c r="J13" s="147">
        <v>4.7000000000000002E-3</v>
      </c>
      <c r="K13" s="20"/>
    </row>
    <row r="14" spans="1:11" ht="13.5" thickBot="1">
      <c r="A14" s="165" t="s">
        <v>383</v>
      </c>
      <c r="B14" s="152">
        <v>0.1216</v>
      </c>
      <c r="C14" s="152">
        <v>3.1399999999999997E-2</v>
      </c>
      <c r="D14" s="152">
        <v>4.3E-3</v>
      </c>
      <c r="E14" s="152">
        <v>7.1999999999999998E-3</v>
      </c>
      <c r="F14" s="152">
        <v>7.3000000000000001E-3</v>
      </c>
      <c r="G14" s="152">
        <v>6.3E-3</v>
      </c>
      <c r="H14" s="152">
        <v>6.6E-3</v>
      </c>
      <c r="I14" s="152">
        <v>2.3800000000000002E-2</v>
      </c>
      <c r="J14" s="152">
        <v>3.4799999999999998E-2</v>
      </c>
      <c r="K14" s="20"/>
    </row>
    <row r="15" spans="1:11" ht="13.5" thickBot="1">
      <c r="A15" s="20"/>
      <c r="B15" s="47"/>
      <c r="C15" s="47"/>
      <c r="D15" s="47"/>
      <c r="E15" s="47"/>
      <c r="F15" s="47"/>
      <c r="G15" s="47"/>
      <c r="H15" s="47"/>
      <c r="I15" s="47"/>
      <c r="J15" s="47"/>
    </row>
    <row r="16" spans="1:11">
      <c r="A16" s="142"/>
      <c r="B16" s="91" t="s">
        <v>214</v>
      </c>
      <c r="C16" s="108"/>
      <c r="D16" s="108"/>
      <c r="E16" s="108"/>
      <c r="F16" s="108"/>
      <c r="G16" s="108"/>
      <c r="H16" s="108"/>
      <c r="I16" s="108"/>
      <c r="J16" s="108"/>
    </row>
    <row r="17" spans="1:10">
      <c r="A17" s="254" t="s">
        <v>749</v>
      </c>
      <c r="B17" s="255" t="s">
        <v>100</v>
      </c>
      <c r="C17" s="255" t="s">
        <v>376</v>
      </c>
      <c r="D17" s="256" t="s">
        <v>377</v>
      </c>
      <c r="E17" s="256" t="s">
        <v>378</v>
      </c>
      <c r="F17" s="255" t="s">
        <v>379</v>
      </c>
      <c r="G17" s="256" t="s">
        <v>380</v>
      </c>
      <c r="H17" s="256" t="s">
        <v>381</v>
      </c>
      <c r="I17" s="255" t="s">
        <v>382</v>
      </c>
      <c r="J17" s="257" t="s">
        <v>383</v>
      </c>
    </row>
    <row r="18" spans="1:10">
      <c r="A18" s="179" t="s">
        <v>569</v>
      </c>
      <c r="B18" s="145"/>
      <c r="C18" s="145"/>
      <c r="D18" s="145"/>
      <c r="E18" s="145"/>
      <c r="F18" s="145"/>
      <c r="G18" s="145"/>
      <c r="H18" s="17"/>
      <c r="I18" s="17"/>
      <c r="J18" s="17"/>
    </row>
    <row r="19" spans="1:10">
      <c r="A19" s="121" t="s">
        <v>100</v>
      </c>
      <c r="B19" s="147">
        <v>1</v>
      </c>
      <c r="C19" s="147">
        <v>0.60440000000000005</v>
      </c>
      <c r="D19" s="147">
        <v>4.1799999999999997E-2</v>
      </c>
      <c r="E19" s="147">
        <v>8.1799999999999998E-2</v>
      </c>
      <c r="F19" s="147">
        <v>7.1999999999999995E-2</v>
      </c>
      <c r="G19" s="147">
        <v>5.3199999999999997E-2</v>
      </c>
      <c r="H19" s="147">
        <v>3.6900000000000002E-2</v>
      </c>
      <c r="I19" s="147">
        <v>6.7900000000000002E-2</v>
      </c>
      <c r="J19" s="147">
        <v>4.2000000000000003E-2</v>
      </c>
    </row>
    <row r="20" spans="1:10">
      <c r="A20" s="145" t="s">
        <v>376</v>
      </c>
      <c r="B20" s="147">
        <v>0.36320000000000002</v>
      </c>
      <c r="C20" s="332">
        <v>0.35580000000000001</v>
      </c>
      <c r="D20" s="147">
        <v>3.5999999999999999E-3</v>
      </c>
      <c r="E20" s="147">
        <v>2E-3</v>
      </c>
      <c r="F20" s="147">
        <v>5.9999999999999995E-4</v>
      </c>
      <c r="G20" s="147">
        <v>5.0000000000000001E-4</v>
      </c>
      <c r="H20" s="147">
        <v>2.0000000000000001E-4</v>
      </c>
      <c r="I20" s="147">
        <v>2.0000000000000001E-4</v>
      </c>
      <c r="J20" s="147">
        <v>2.9999999999999997E-4</v>
      </c>
    </row>
    <row r="21" spans="1:10">
      <c r="A21" s="121" t="s">
        <v>377</v>
      </c>
      <c r="B21" s="147">
        <v>7.4499999999999997E-2</v>
      </c>
      <c r="C21" s="147">
        <v>6.3299999999999995E-2</v>
      </c>
      <c r="D21" s="147">
        <v>4.5999999999999999E-3</v>
      </c>
      <c r="E21" s="147">
        <v>3.5000000000000001E-3</v>
      </c>
      <c r="F21" s="147">
        <v>1.9E-3</v>
      </c>
      <c r="G21" s="147">
        <v>5.9999999999999995E-4</v>
      </c>
      <c r="H21" s="147">
        <v>2.9999999999999997E-4</v>
      </c>
      <c r="I21" s="147">
        <v>2.0000000000000001E-4</v>
      </c>
      <c r="J21" s="147">
        <v>0</v>
      </c>
    </row>
    <row r="22" spans="1:10">
      <c r="A22" s="121" t="s">
        <v>378</v>
      </c>
      <c r="B22" s="147">
        <v>9.1300000000000006E-2</v>
      </c>
      <c r="C22" s="147">
        <v>5.3100000000000001E-2</v>
      </c>
      <c r="D22" s="147">
        <v>8.8000000000000005E-3</v>
      </c>
      <c r="E22" s="147">
        <v>1.35E-2</v>
      </c>
      <c r="F22" s="147">
        <v>9.7000000000000003E-3</v>
      </c>
      <c r="G22" s="147">
        <v>3.3999999999999998E-3</v>
      </c>
      <c r="H22" s="147">
        <v>1.2999999999999999E-3</v>
      </c>
      <c r="I22" s="147">
        <v>1.4E-3</v>
      </c>
      <c r="J22" s="147">
        <v>1E-4</v>
      </c>
    </row>
    <row r="23" spans="1:10">
      <c r="A23" s="145" t="s">
        <v>379</v>
      </c>
      <c r="B23" s="147">
        <v>8.4699999999999998E-2</v>
      </c>
      <c r="C23" s="147">
        <v>3.1099999999999999E-2</v>
      </c>
      <c r="D23" s="147">
        <v>7.0000000000000001E-3</v>
      </c>
      <c r="E23" s="147">
        <v>1.9599999999999999E-2</v>
      </c>
      <c r="F23" s="147">
        <v>1.5299999999999999E-2</v>
      </c>
      <c r="G23" s="147">
        <v>7.4000000000000003E-3</v>
      </c>
      <c r="H23" s="147">
        <v>2.3999999999999998E-3</v>
      </c>
      <c r="I23" s="147">
        <v>1.6999999999999999E-3</v>
      </c>
      <c r="J23" s="147">
        <v>2.0000000000000001E-4</v>
      </c>
    </row>
    <row r="24" spans="1:10">
      <c r="A24" s="121" t="s">
        <v>380</v>
      </c>
      <c r="B24" s="147">
        <v>7.0699999999999999E-2</v>
      </c>
      <c r="C24" s="147">
        <v>1.9099999999999999E-2</v>
      </c>
      <c r="D24" s="147">
        <v>4.3E-3</v>
      </c>
      <c r="E24" s="147">
        <v>1.21E-2</v>
      </c>
      <c r="F24" s="147">
        <v>1.3599999999999999E-2</v>
      </c>
      <c r="G24" s="147">
        <v>1.1299999999999999E-2</v>
      </c>
      <c r="H24" s="147">
        <v>5.8999999999999999E-3</v>
      </c>
      <c r="I24" s="147">
        <v>4.1000000000000003E-3</v>
      </c>
      <c r="J24" s="147">
        <v>2.9999999999999997E-4</v>
      </c>
    </row>
    <row r="25" spans="1:10">
      <c r="A25" s="121" t="s">
        <v>381</v>
      </c>
      <c r="B25" s="147">
        <v>5.6800000000000003E-2</v>
      </c>
      <c r="C25" s="147">
        <v>1.4200000000000001E-2</v>
      </c>
      <c r="D25" s="147">
        <v>3.5000000000000001E-3</v>
      </c>
      <c r="E25" s="147">
        <v>8.5000000000000006E-3</v>
      </c>
      <c r="F25" s="147">
        <v>8.6999999999999994E-3</v>
      </c>
      <c r="G25" s="147">
        <v>9.1999999999999998E-3</v>
      </c>
      <c r="H25" s="147">
        <v>6.7999999999999996E-3</v>
      </c>
      <c r="I25" s="147">
        <v>5.5999999999999999E-3</v>
      </c>
      <c r="J25" s="147">
        <v>2.9999999999999997E-4</v>
      </c>
    </row>
    <row r="26" spans="1:10">
      <c r="A26" s="145" t="s">
        <v>382</v>
      </c>
      <c r="B26" s="147">
        <v>0.13539999999999999</v>
      </c>
      <c r="C26" s="147">
        <v>3.5200000000000002E-2</v>
      </c>
      <c r="D26" s="147">
        <v>5.8999999999999999E-3</v>
      </c>
      <c r="E26" s="147">
        <v>1.52E-2</v>
      </c>
      <c r="F26" s="147">
        <v>1.43E-2</v>
      </c>
      <c r="G26" s="147">
        <v>1.44E-2</v>
      </c>
      <c r="H26" s="147">
        <v>1.3899999999999999E-2</v>
      </c>
      <c r="I26" s="147">
        <v>3.2199999999999999E-2</v>
      </c>
      <c r="J26" s="332">
        <v>4.3E-3</v>
      </c>
    </row>
    <row r="27" spans="1:10" ht="13.5" thickBot="1">
      <c r="A27" s="165" t="s">
        <v>383</v>
      </c>
      <c r="B27" s="152">
        <v>0.1235</v>
      </c>
      <c r="C27" s="152">
        <v>3.2599999999999997E-2</v>
      </c>
      <c r="D27" s="152">
        <v>4.1999999999999997E-3</v>
      </c>
      <c r="E27" s="152">
        <v>7.4000000000000003E-3</v>
      </c>
      <c r="F27" s="152">
        <v>7.7999999999999996E-3</v>
      </c>
      <c r="G27" s="152">
        <v>6.4999999999999997E-3</v>
      </c>
      <c r="H27" s="152">
        <v>6.1000000000000004E-3</v>
      </c>
      <c r="I27" s="152">
        <v>2.24E-2</v>
      </c>
      <c r="J27" s="152">
        <v>3.6499999999999998E-2</v>
      </c>
    </row>
    <row r="29" spans="1:10">
      <c r="A29" s="329" t="s">
        <v>509</v>
      </c>
    </row>
    <row r="30" spans="1:10" ht="38.25" customHeight="1">
      <c r="A30" s="384" t="s">
        <v>758</v>
      </c>
      <c r="B30" s="383"/>
      <c r="C30" s="383"/>
      <c r="D30" s="383"/>
      <c r="E30" s="383"/>
      <c r="F30" s="383"/>
      <c r="G30" s="383"/>
      <c r="H30" s="383"/>
      <c r="I30" s="383"/>
      <c r="J30" s="383"/>
    </row>
    <row r="31" spans="1:10">
      <c r="B31" s="20"/>
      <c r="C31" s="35"/>
      <c r="D31" s="35"/>
      <c r="E31" s="20"/>
      <c r="F31" s="35"/>
      <c r="G31" s="35"/>
      <c r="H31" s="20"/>
      <c r="I31" s="20"/>
    </row>
    <row r="32" spans="1:10">
      <c r="A32" s="1" t="s">
        <v>184</v>
      </c>
    </row>
    <row r="33" spans="1:1">
      <c r="A33" t="s">
        <v>197</v>
      </c>
    </row>
  </sheetData>
  <mergeCells count="2">
    <mergeCell ref="A30:J30"/>
    <mergeCell ref="A1:I1"/>
  </mergeCells>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2"/>
  <sheetViews>
    <sheetView zoomScaleNormal="100" workbookViewId="0">
      <selection activeCell="M25" sqref="M25"/>
    </sheetView>
  </sheetViews>
  <sheetFormatPr baseColWidth="10" defaultRowHeight="12.75"/>
  <cols>
    <col min="1" max="1" width="22" customWidth="1"/>
    <col min="2" max="6" width="10.42578125" customWidth="1"/>
    <col min="7" max="7" width="11" customWidth="1"/>
  </cols>
  <sheetData>
    <row r="1" spans="1:7" ht="15">
      <c r="A1" s="389" t="s">
        <v>428</v>
      </c>
      <c r="B1" s="394"/>
      <c r="C1" s="394"/>
      <c r="D1" s="394"/>
      <c r="E1" s="394"/>
      <c r="F1" s="394"/>
      <c r="G1" s="394"/>
    </row>
    <row r="2" spans="1:7">
      <c r="G2" s="2" t="s">
        <v>429</v>
      </c>
    </row>
    <row r="3" spans="1:7" ht="13.5" thickBot="1">
      <c r="A3" s="20"/>
    </row>
    <row r="4" spans="1:7">
      <c r="A4" s="108"/>
      <c r="B4" s="91" t="s">
        <v>730</v>
      </c>
      <c r="C4" s="108"/>
      <c r="D4" s="108"/>
      <c r="E4" s="91" t="s">
        <v>748</v>
      </c>
      <c r="F4" s="108"/>
      <c r="G4" s="108"/>
    </row>
    <row r="5" spans="1:7">
      <c r="A5" s="17"/>
      <c r="B5" s="171" t="s">
        <v>430</v>
      </c>
      <c r="C5" s="17" t="s">
        <v>386</v>
      </c>
      <c r="D5" s="17" t="s">
        <v>104</v>
      </c>
      <c r="E5" s="171" t="s">
        <v>430</v>
      </c>
      <c r="F5" s="17" t="s">
        <v>386</v>
      </c>
      <c r="G5" s="17" t="s">
        <v>104</v>
      </c>
    </row>
    <row r="6" spans="1:7">
      <c r="A6" s="242"/>
      <c r="B6" s="243" t="s">
        <v>387</v>
      </c>
      <c r="C6" s="243" t="s">
        <v>388</v>
      </c>
      <c r="D6" s="243" t="s">
        <v>389</v>
      </c>
      <c r="E6" s="243" t="s">
        <v>387</v>
      </c>
      <c r="F6" s="243" t="s">
        <v>388</v>
      </c>
      <c r="G6" s="243" t="s">
        <v>389</v>
      </c>
    </row>
    <row r="7" spans="1:7">
      <c r="A7" s="17"/>
      <c r="B7" s="17"/>
      <c r="C7" s="17"/>
      <c r="D7" s="17"/>
      <c r="E7" s="17"/>
      <c r="F7" s="17"/>
      <c r="G7" s="17"/>
    </row>
    <row r="8" spans="1:7">
      <c r="A8" s="93" t="s">
        <v>100</v>
      </c>
      <c r="B8" s="59">
        <v>17211</v>
      </c>
      <c r="C8" s="176">
        <v>1</v>
      </c>
      <c r="D8" s="59">
        <v>903574</v>
      </c>
      <c r="E8" s="59">
        <v>17408</v>
      </c>
      <c r="F8" s="176">
        <v>1</v>
      </c>
      <c r="G8" s="59">
        <v>902785</v>
      </c>
    </row>
    <row r="9" spans="1:7">
      <c r="A9" s="93" t="s">
        <v>375</v>
      </c>
      <c r="B9" s="17"/>
      <c r="C9" s="176"/>
      <c r="D9" s="17"/>
      <c r="E9" s="17"/>
      <c r="F9" s="176"/>
      <c r="G9" s="17"/>
    </row>
    <row r="10" spans="1:7">
      <c r="A10" s="214" t="s">
        <v>376</v>
      </c>
      <c r="B10" s="59">
        <v>6637</v>
      </c>
      <c r="C10" s="176">
        <v>0.38600000000000001</v>
      </c>
      <c r="D10" s="59">
        <v>10244</v>
      </c>
      <c r="E10" s="59">
        <v>6635</v>
      </c>
      <c r="F10" s="176">
        <v>0.38100000000000001</v>
      </c>
      <c r="G10" s="59">
        <v>10150</v>
      </c>
    </row>
    <row r="11" spans="1:7">
      <c r="A11" s="214" t="s">
        <v>377</v>
      </c>
      <c r="B11" s="59">
        <v>1529</v>
      </c>
      <c r="C11" s="176">
        <v>8.8999999999999996E-2</v>
      </c>
      <c r="D11" s="59">
        <v>73413</v>
      </c>
      <c r="E11" s="59">
        <v>1496</v>
      </c>
      <c r="F11" s="176">
        <v>8.5999999999999993E-2</v>
      </c>
      <c r="G11" s="59">
        <v>72864</v>
      </c>
    </row>
    <row r="12" spans="1:7">
      <c r="A12" s="214" t="s">
        <v>378</v>
      </c>
      <c r="B12" s="59">
        <v>1810</v>
      </c>
      <c r="C12" s="176">
        <v>0.105</v>
      </c>
      <c r="D12" s="59">
        <v>145615</v>
      </c>
      <c r="E12" s="59">
        <v>1849</v>
      </c>
      <c r="F12" s="176">
        <v>0.106</v>
      </c>
      <c r="G12" s="59">
        <v>145850</v>
      </c>
    </row>
    <row r="13" spans="1:7">
      <c r="A13" s="214" t="s">
        <v>379</v>
      </c>
      <c r="B13" s="59">
        <v>1223</v>
      </c>
      <c r="C13" s="176">
        <v>7.0999999999999994E-2</v>
      </c>
      <c r="D13" s="59">
        <v>247127</v>
      </c>
      <c r="E13" s="59">
        <v>1214</v>
      </c>
      <c r="F13" s="176">
        <v>7.0000000000000007E-2</v>
      </c>
      <c r="G13" s="59">
        <v>246979</v>
      </c>
    </row>
    <row r="14" spans="1:7">
      <c r="A14" s="214" t="s">
        <v>380</v>
      </c>
      <c r="B14" s="59">
        <v>878</v>
      </c>
      <c r="C14" s="176">
        <v>5.0999999999999997E-2</v>
      </c>
      <c r="D14" s="59">
        <v>347816</v>
      </c>
      <c r="E14" s="59">
        <v>926</v>
      </c>
      <c r="F14" s="176">
        <v>5.2999999999999999E-2</v>
      </c>
      <c r="G14" s="59">
        <v>348376</v>
      </c>
    </row>
    <row r="15" spans="1:7">
      <c r="A15" s="214" t="s">
        <v>381</v>
      </c>
      <c r="B15" s="59">
        <v>718</v>
      </c>
      <c r="C15" s="176">
        <v>4.2000000000000003E-2</v>
      </c>
      <c r="D15" s="59">
        <v>448238</v>
      </c>
      <c r="E15" s="59">
        <v>729</v>
      </c>
      <c r="F15" s="176">
        <v>4.2000000000000003E-2</v>
      </c>
      <c r="G15" s="59">
        <v>447715</v>
      </c>
    </row>
    <row r="16" spans="1:7">
      <c r="A16" s="214" t="s">
        <v>382</v>
      </c>
      <c r="B16" s="59">
        <v>1855</v>
      </c>
      <c r="C16" s="176">
        <v>0.108</v>
      </c>
      <c r="D16" s="59">
        <v>713062</v>
      </c>
      <c r="E16" s="59">
        <v>1915</v>
      </c>
      <c r="F16" s="176">
        <v>0.11</v>
      </c>
      <c r="G16" s="59">
        <v>709545</v>
      </c>
    </row>
    <row r="17" spans="1:7" ht="13.5" thickBot="1">
      <c r="A17" s="237" t="s">
        <v>383</v>
      </c>
      <c r="B17" s="136">
        <v>2561</v>
      </c>
      <c r="C17" s="241">
        <v>0.14899999999999999</v>
      </c>
      <c r="D17" s="136">
        <v>5019689</v>
      </c>
      <c r="E17" s="136">
        <v>2644</v>
      </c>
      <c r="F17" s="241">
        <v>0.152</v>
      </c>
      <c r="G17" s="136">
        <v>4902445</v>
      </c>
    </row>
    <row r="19" spans="1:7">
      <c r="A19" s="1" t="s">
        <v>184</v>
      </c>
      <c r="E19" s="3"/>
      <c r="F19" s="3"/>
    </row>
    <row r="20" spans="1:7">
      <c r="A20" t="s">
        <v>197</v>
      </c>
    </row>
    <row r="22" spans="1:7">
      <c r="E22" s="3"/>
    </row>
  </sheetData>
  <mergeCells count="1">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20"/>
  <sheetViews>
    <sheetView zoomScaleNormal="100" workbookViewId="0">
      <selection activeCell="C17" sqref="C17"/>
    </sheetView>
  </sheetViews>
  <sheetFormatPr baseColWidth="10" defaultRowHeight="12.75"/>
  <cols>
    <col min="1" max="5" width="17" customWidth="1"/>
    <col min="6" max="6" width="13" customWidth="1"/>
  </cols>
  <sheetData>
    <row r="1" spans="1:6" ht="15">
      <c r="A1" s="389" t="s">
        <v>431</v>
      </c>
      <c r="B1" s="394"/>
      <c r="C1" s="394"/>
    </row>
    <row r="2" spans="1:6">
      <c r="E2" s="2" t="s">
        <v>432</v>
      </c>
    </row>
    <row r="3" spans="1:6" ht="13.5" thickBot="1">
      <c r="A3" s="20"/>
    </row>
    <row r="4" spans="1:6">
      <c r="A4" s="108"/>
      <c r="B4" s="91" t="s">
        <v>730</v>
      </c>
      <c r="C4" s="108"/>
      <c r="D4" s="91" t="s">
        <v>748</v>
      </c>
      <c r="E4" s="108"/>
    </row>
    <row r="5" spans="1:6" ht="25.5">
      <c r="A5" s="244" t="s">
        <v>433</v>
      </c>
      <c r="B5" s="244" t="s">
        <v>404</v>
      </c>
      <c r="C5" s="244" t="s">
        <v>405</v>
      </c>
      <c r="D5" s="244" t="s">
        <v>404</v>
      </c>
      <c r="E5" s="244" t="s">
        <v>405</v>
      </c>
      <c r="F5" s="42"/>
    </row>
    <row r="6" spans="1:6">
      <c r="A6" s="250"/>
      <c r="B6" s="251" t="s">
        <v>388</v>
      </c>
      <c r="C6" s="251" t="s">
        <v>403</v>
      </c>
      <c r="D6" s="251" t="s">
        <v>388</v>
      </c>
      <c r="E6" s="251" t="s">
        <v>403</v>
      </c>
      <c r="F6" s="42"/>
    </row>
    <row r="7" spans="1:6">
      <c r="A7" s="17"/>
      <c r="B7" s="17"/>
      <c r="C7" s="17"/>
      <c r="D7" s="17"/>
      <c r="E7" s="17"/>
    </row>
    <row r="8" spans="1:6">
      <c r="A8" s="17" t="s">
        <v>392</v>
      </c>
      <c r="B8" s="258">
        <v>0</v>
      </c>
      <c r="C8" s="247">
        <v>0</v>
      </c>
      <c r="D8" s="258">
        <v>0</v>
      </c>
      <c r="E8" s="247">
        <v>0</v>
      </c>
    </row>
    <row r="9" spans="1:6">
      <c r="A9" s="17" t="s">
        <v>393</v>
      </c>
      <c r="B9" s="192">
        <v>1.1770710743659553E-4</v>
      </c>
      <c r="C9" s="247">
        <v>1.830511</v>
      </c>
      <c r="D9" s="192">
        <v>1.2039E-4</v>
      </c>
      <c r="E9" s="247">
        <v>1.8919790000000001</v>
      </c>
    </row>
    <row r="10" spans="1:6">
      <c r="A10" s="17" t="s">
        <v>394</v>
      </c>
      <c r="B10" s="192">
        <v>1.2187323882019885E-3</v>
      </c>
      <c r="C10" s="247">
        <v>18.953002000000001</v>
      </c>
      <c r="D10" s="192">
        <v>1.2617500000000001E-3</v>
      </c>
      <c r="E10" s="247">
        <v>19.829301999999998</v>
      </c>
    </row>
    <row r="11" spans="1:6">
      <c r="A11" s="17" t="s">
        <v>395</v>
      </c>
      <c r="B11" s="192">
        <v>5.2132333080039429E-3</v>
      </c>
      <c r="C11" s="247">
        <v>81.073106999999993</v>
      </c>
      <c r="D11" s="192">
        <v>5.4138500000000004E-3</v>
      </c>
      <c r="E11" s="247">
        <v>85.082352</v>
      </c>
    </row>
    <row r="12" spans="1:6">
      <c r="A12" s="17" t="s">
        <v>396</v>
      </c>
      <c r="B12" s="192">
        <v>1.4688091102527773E-2</v>
      </c>
      <c r="C12" s="247">
        <v>228.420466</v>
      </c>
      <c r="D12" s="192">
        <v>1.5314370000000001E-2</v>
      </c>
      <c r="E12" s="247">
        <v>240.675726</v>
      </c>
    </row>
    <row r="13" spans="1:6">
      <c r="A13" s="17" t="s">
        <v>397</v>
      </c>
      <c r="B13" s="192">
        <v>3.3299494512703726E-2</v>
      </c>
      <c r="C13" s="247">
        <v>517.85395400000004</v>
      </c>
      <c r="D13" s="192">
        <v>3.4791139999999998E-2</v>
      </c>
      <c r="E13" s="247">
        <v>546.76639399999999</v>
      </c>
    </row>
    <row r="14" spans="1:6">
      <c r="A14" s="17" t="s">
        <v>398</v>
      </c>
      <c r="B14" s="192">
        <v>6.6841762124811868E-2</v>
      </c>
      <c r="C14" s="247">
        <v>1039.483371</v>
      </c>
      <c r="D14" s="192">
        <v>6.9659799999999994E-2</v>
      </c>
      <c r="E14" s="247">
        <v>1094.751145</v>
      </c>
    </row>
    <row r="15" spans="1:6">
      <c r="A15" s="17" t="s">
        <v>399</v>
      </c>
      <c r="B15" s="192">
        <v>0.12558904783009547</v>
      </c>
      <c r="C15" s="247">
        <v>1953.0862540000001</v>
      </c>
      <c r="D15" s="192">
        <v>0.12993948</v>
      </c>
      <c r="E15" s="247">
        <v>2042.0872859999999</v>
      </c>
    </row>
    <row r="16" spans="1:6">
      <c r="A16" s="17" t="s">
        <v>400</v>
      </c>
      <c r="B16" s="192">
        <v>0.2394981423061191</v>
      </c>
      <c r="C16" s="247">
        <v>3724.5328129999998</v>
      </c>
      <c r="D16" s="192">
        <v>0.24608363999999999</v>
      </c>
      <c r="E16" s="247">
        <v>3867.3718490000001</v>
      </c>
    </row>
    <row r="17" spans="1:5" ht="13.5" thickBot="1">
      <c r="A17" s="104" t="s">
        <v>401</v>
      </c>
      <c r="B17" s="196">
        <v>1</v>
      </c>
      <c r="C17" s="259">
        <v>15551.405857</v>
      </c>
      <c r="D17" s="196">
        <v>1</v>
      </c>
      <c r="E17" s="259">
        <v>15715.680308000001</v>
      </c>
    </row>
    <row r="19" spans="1:5">
      <c r="A19" s="1" t="s">
        <v>184</v>
      </c>
    </row>
    <row r="20" spans="1:5">
      <c r="A20" t="s">
        <v>197</v>
      </c>
    </row>
  </sheetData>
  <mergeCells count="1">
    <mergeCell ref="A1:C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zoomScaleNormal="100" workbookViewId="0">
      <selection activeCell="C17" sqref="C17"/>
    </sheetView>
  </sheetViews>
  <sheetFormatPr baseColWidth="10" defaultRowHeight="12.75"/>
  <cols>
    <col min="1" max="1" width="37.7109375" customWidth="1"/>
    <col min="2" max="4" width="15.7109375" customWidth="1"/>
  </cols>
  <sheetData>
    <row r="1" spans="1:4" ht="15">
      <c r="A1" s="389" t="s">
        <v>476</v>
      </c>
      <c r="B1" s="394"/>
      <c r="C1" s="394"/>
      <c r="D1" s="394"/>
    </row>
    <row r="2" spans="1:4">
      <c r="A2" s="5" t="s">
        <v>296</v>
      </c>
      <c r="D2" s="2" t="s">
        <v>434</v>
      </c>
    </row>
    <row r="3" spans="1:4" ht="13.5" thickBot="1">
      <c r="A3" s="20"/>
    </row>
    <row r="4" spans="1:4">
      <c r="A4" s="141"/>
      <c r="B4" s="117" t="s">
        <v>730</v>
      </c>
      <c r="C4" s="117" t="s">
        <v>730</v>
      </c>
      <c r="D4" s="140" t="s">
        <v>196</v>
      </c>
    </row>
    <row r="5" spans="1:4">
      <c r="A5" s="17"/>
      <c r="B5" s="17"/>
      <c r="C5" s="17"/>
      <c r="D5" s="17"/>
    </row>
    <row r="6" spans="1:4">
      <c r="A6" s="171" t="s">
        <v>104</v>
      </c>
      <c r="B6" s="260">
        <v>903574</v>
      </c>
      <c r="C6" s="260">
        <v>902785</v>
      </c>
      <c r="D6" s="18">
        <f>C6/B6-1</f>
        <v>-8.731990960342273E-4</v>
      </c>
    </row>
    <row r="7" spans="1:4">
      <c r="A7" s="17" t="s">
        <v>414</v>
      </c>
      <c r="B7" s="194">
        <v>0</v>
      </c>
      <c r="C7" s="194">
        <v>0</v>
      </c>
      <c r="D7" s="126" t="s">
        <v>116</v>
      </c>
    </row>
    <row r="8" spans="1:4">
      <c r="A8" s="171" t="s">
        <v>392</v>
      </c>
      <c r="B8" s="252">
        <v>0</v>
      </c>
      <c r="C8" s="252">
        <v>0</v>
      </c>
      <c r="D8" s="126" t="s">
        <v>116</v>
      </c>
    </row>
    <row r="9" spans="1:4">
      <c r="A9" s="171" t="s">
        <v>411</v>
      </c>
      <c r="B9" s="260">
        <v>9273</v>
      </c>
      <c r="C9" s="260">
        <v>9693</v>
      </c>
      <c r="D9" s="18">
        <f>C9/B9-1</f>
        <v>4.5292785506308553E-2</v>
      </c>
    </row>
    <row r="10" spans="1:4">
      <c r="A10" s="17" t="s">
        <v>364</v>
      </c>
      <c r="B10" s="260">
        <v>120108</v>
      </c>
      <c r="C10" s="260">
        <v>125755</v>
      </c>
      <c r="D10" s="18">
        <f>C10/B10-1</f>
        <v>4.7016018916308688E-2</v>
      </c>
    </row>
    <row r="11" spans="1:4">
      <c r="A11" s="171" t="s">
        <v>412</v>
      </c>
      <c r="B11" s="261">
        <v>519847</v>
      </c>
      <c r="C11" s="261">
        <v>535883</v>
      </c>
      <c r="D11" s="18">
        <f>C11/B11-1</f>
        <v>3.0847537833247118E-2</v>
      </c>
    </row>
    <row r="12" spans="1:4">
      <c r="A12" s="171" t="s">
        <v>400</v>
      </c>
      <c r="B12" s="260">
        <v>1537132</v>
      </c>
      <c r="C12" s="260">
        <v>1542273</v>
      </c>
      <c r="D12" s="18">
        <f>C12/B12-1</f>
        <v>3.3445403517720074E-3</v>
      </c>
    </row>
    <row r="13" spans="1:4" ht="13.5" thickBot="1">
      <c r="A13" s="104" t="s">
        <v>415</v>
      </c>
      <c r="B13" s="262">
        <v>2965524</v>
      </c>
      <c r="C13" s="262">
        <v>3017458</v>
      </c>
      <c r="D13" s="112">
        <f>C13/B13-1</f>
        <v>1.7512587994566786E-2</v>
      </c>
    </row>
    <row r="14" spans="1:4">
      <c r="B14" s="46"/>
      <c r="C14" s="46"/>
      <c r="D14" s="46"/>
    </row>
    <row r="15" spans="1:4">
      <c r="A15" s="1" t="s">
        <v>184</v>
      </c>
    </row>
    <row r="16" spans="1:4">
      <c r="A16" t="s">
        <v>197</v>
      </c>
    </row>
  </sheetData>
  <mergeCells count="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1"/>
  <sheetViews>
    <sheetView zoomScaleNormal="100" workbookViewId="0">
      <selection activeCell="A8" sqref="A8"/>
    </sheetView>
  </sheetViews>
  <sheetFormatPr baseColWidth="10" defaultRowHeight="12.75"/>
  <cols>
    <col min="1" max="1" width="33.7109375" customWidth="1"/>
    <col min="2" max="4" width="15.7109375" customWidth="1"/>
  </cols>
  <sheetData>
    <row r="1" spans="1:7" ht="15">
      <c r="A1" s="360" t="s">
        <v>483</v>
      </c>
      <c r="B1" s="360"/>
      <c r="C1" s="360"/>
      <c r="D1" s="360"/>
    </row>
    <row r="2" spans="1:7">
      <c r="A2" s="5" t="s">
        <v>296</v>
      </c>
      <c r="D2" s="2" t="s">
        <v>188</v>
      </c>
    </row>
    <row r="3" spans="1:7" ht="13.5" thickBot="1">
      <c r="A3" s="20"/>
    </row>
    <row r="4" spans="1:7">
      <c r="A4" s="141"/>
      <c r="B4" s="116" t="s">
        <v>729</v>
      </c>
      <c r="C4" s="116" t="s">
        <v>747</v>
      </c>
      <c r="D4" s="140" t="s">
        <v>196</v>
      </c>
    </row>
    <row r="5" spans="1:7">
      <c r="A5" s="121"/>
      <c r="B5" s="17"/>
      <c r="C5" s="17"/>
      <c r="D5" s="122"/>
    </row>
    <row r="6" spans="1:7">
      <c r="A6" s="123" t="s">
        <v>517</v>
      </c>
      <c r="B6" s="125">
        <v>263710369</v>
      </c>
      <c r="C6" s="125">
        <v>271147617</v>
      </c>
      <c r="D6" s="18">
        <f>C6/B6-1</f>
        <v>2.8202334357205316E-2</v>
      </c>
    </row>
    <row r="7" spans="1:7">
      <c r="A7" s="123" t="s">
        <v>526</v>
      </c>
      <c r="B7" s="125">
        <v>-175911</v>
      </c>
      <c r="C7" s="125">
        <v>-590381</v>
      </c>
      <c r="D7" s="18">
        <f>C7/B7-1</f>
        <v>2.3561346362649296</v>
      </c>
    </row>
    <row r="8" spans="1:7">
      <c r="A8" s="127" t="s">
        <v>527</v>
      </c>
      <c r="B8" s="125">
        <f>B6-B7</f>
        <v>263886280</v>
      </c>
      <c r="C8" s="125">
        <f>C6-C7</f>
        <v>271737998</v>
      </c>
      <c r="D8" s="18">
        <f>C8/B8-1</f>
        <v>2.975417289599136E-2</v>
      </c>
      <c r="F8" s="3"/>
      <c r="G8" s="3"/>
    </row>
    <row r="9" spans="1:7">
      <c r="A9" s="128" t="s">
        <v>190</v>
      </c>
      <c r="B9" s="124">
        <v>113235510</v>
      </c>
      <c r="C9" s="124">
        <v>118397829</v>
      </c>
      <c r="D9" s="18">
        <f>C9/B9-1</f>
        <v>4.5589223733791595E-2</v>
      </c>
    </row>
    <row r="10" spans="1:7">
      <c r="A10" s="128" t="s">
        <v>191</v>
      </c>
      <c r="B10" s="125">
        <v>150650770</v>
      </c>
      <c r="C10" s="125">
        <v>153340169</v>
      </c>
      <c r="D10" s="18">
        <f>C10/B10-1</f>
        <v>1.7851876893825391E-2</v>
      </c>
    </row>
    <row r="11" spans="1:7">
      <c r="A11" s="129"/>
      <c r="B11" s="125"/>
      <c r="C11" s="125"/>
      <c r="D11" s="17"/>
    </row>
    <row r="12" spans="1:7">
      <c r="A12" s="129" t="s">
        <v>187</v>
      </c>
      <c r="B12" s="59">
        <v>30959</v>
      </c>
      <c r="C12" s="59">
        <v>31195</v>
      </c>
      <c r="D12" s="18">
        <f>C12/B12-1</f>
        <v>7.6229852385412133E-3</v>
      </c>
    </row>
    <row r="13" spans="1:7">
      <c r="A13" s="129"/>
      <c r="B13" s="59"/>
      <c r="C13" s="59"/>
      <c r="D13" s="17"/>
    </row>
    <row r="14" spans="1:7">
      <c r="A14" s="130" t="s">
        <v>195</v>
      </c>
      <c r="B14" s="60">
        <f t="shared" ref="B14" si="0">B8/B$12</f>
        <v>8523.7339707354895</v>
      </c>
      <c r="C14" s="60">
        <f t="shared" ref="C14:C16" si="1">C8/C$12</f>
        <v>8710.9472030774159</v>
      </c>
      <c r="D14" s="18">
        <f>C14/B14-1</f>
        <v>2.1963758252508292E-2</v>
      </c>
    </row>
    <row r="15" spans="1:7">
      <c r="A15" s="128" t="s">
        <v>193</v>
      </c>
      <c r="B15" s="60">
        <f t="shared" ref="B15" si="2">B9/B$12</f>
        <v>3657.5958525792175</v>
      </c>
      <c r="C15" s="60">
        <f t="shared" si="1"/>
        <v>3795.410450392691</v>
      </c>
      <c r="D15" s="18">
        <f>C15/B15-1</f>
        <v>3.7679011943402951E-2</v>
      </c>
    </row>
    <row r="16" spans="1:7" ht="13.5" thickBot="1">
      <c r="A16" s="131" t="s">
        <v>194</v>
      </c>
      <c r="B16" s="132">
        <f t="shared" ref="B16" si="3">B10/B$12</f>
        <v>4866.138118156271</v>
      </c>
      <c r="C16" s="132">
        <f t="shared" si="1"/>
        <v>4915.5367526847249</v>
      </c>
      <c r="D16" s="112">
        <f>C16/B16-1</f>
        <v>1.0151506868278259E-2</v>
      </c>
    </row>
    <row r="17" spans="1:6">
      <c r="A17" s="23"/>
      <c r="B17" s="26"/>
      <c r="C17" s="23"/>
    </row>
    <row r="18" spans="1:6">
      <c r="A18" s="23"/>
      <c r="B18" s="23"/>
      <c r="C18" s="23"/>
    </row>
    <row r="19" spans="1:6">
      <c r="A19" s="23"/>
      <c r="B19" s="23"/>
      <c r="C19" s="23"/>
    </row>
    <row r="20" spans="1:6">
      <c r="A20" s="23"/>
      <c r="B20" s="23"/>
      <c r="C20" s="23"/>
    </row>
    <row r="21" spans="1:6" ht="15">
      <c r="A21" s="365" t="s">
        <v>484</v>
      </c>
      <c r="B21" s="365"/>
      <c r="C21" s="365"/>
      <c r="D21" s="365"/>
    </row>
    <row r="22" spans="1:6">
      <c r="A22" s="26" t="s">
        <v>296</v>
      </c>
      <c r="B22" s="23"/>
      <c r="C22" s="23"/>
      <c r="D22" s="2" t="s">
        <v>162</v>
      </c>
    </row>
    <row r="23" spans="1:6" ht="13.5" thickBot="1">
      <c r="A23" s="23"/>
      <c r="B23" s="23"/>
      <c r="C23" s="23"/>
    </row>
    <row r="24" spans="1:6">
      <c r="A24" s="138"/>
      <c r="B24" s="139" t="str">
        <f>B4</f>
        <v>RJ 2019</v>
      </c>
      <c r="C24" s="139" t="str">
        <f>C4</f>
        <v>RJ 2020</v>
      </c>
      <c r="D24" s="140" t="s">
        <v>209</v>
      </c>
    </row>
    <row r="25" spans="1:6">
      <c r="A25" s="129"/>
      <c r="B25" s="129"/>
      <c r="C25" s="129"/>
      <c r="D25" s="122"/>
    </row>
    <row r="26" spans="1:6">
      <c r="A26" s="129" t="s">
        <v>527</v>
      </c>
      <c r="B26" s="59">
        <f>B8</f>
        <v>263886280</v>
      </c>
      <c r="C26" s="59">
        <f>C8</f>
        <v>271737998</v>
      </c>
      <c r="D26" s="134">
        <f>SUM(D28:D38)</f>
        <v>1</v>
      </c>
    </row>
    <row r="27" spans="1:6">
      <c r="A27" s="129"/>
      <c r="B27" s="59"/>
      <c r="C27" s="59"/>
      <c r="D27" s="122"/>
    </row>
    <row r="28" spans="1:6">
      <c r="A28" s="129" t="s">
        <v>198</v>
      </c>
      <c r="B28" s="59">
        <v>20856136</v>
      </c>
      <c r="C28" s="59">
        <v>21428432</v>
      </c>
      <c r="D28" s="134">
        <f t="shared" ref="D28:D38" si="4">C28/C$26</f>
        <v>7.8856958385334103E-2</v>
      </c>
    </row>
    <row r="29" spans="1:6">
      <c r="A29" s="129" t="s">
        <v>199</v>
      </c>
      <c r="B29" s="59">
        <v>25274693</v>
      </c>
      <c r="C29" s="59">
        <v>23834220</v>
      </c>
      <c r="D29" s="134">
        <f t="shared" si="4"/>
        <v>8.7710295120375467E-2</v>
      </c>
      <c r="F29" s="3"/>
    </row>
    <row r="30" spans="1:6">
      <c r="A30" s="129" t="s">
        <v>200</v>
      </c>
      <c r="B30" s="59">
        <v>11440077</v>
      </c>
      <c r="C30" s="59">
        <v>13638800</v>
      </c>
      <c r="D30" s="134">
        <f t="shared" si="4"/>
        <v>5.019099316393727E-2</v>
      </c>
    </row>
    <row r="31" spans="1:6">
      <c r="A31" s="129" t="s">
        <v>201</v>
      </c>
      <c r="B31" s="59">
        <v>73285965</v>
      </c>
      <c r="C31" s="59">
        <v>73557398</v>
      </c>
      <c r="D31" s="134">
        <f t="shared" si="4"/>
        <v>0.27069235271248299</v>
      </c>
    </row>
    <row r="32" spans="1:6">
      <c r="A32" s="129" t="s">
        <v>202</v>
      </c>
      <c r="B32" s="59">
        <v>72744098</v>
      </c>
      <c r="C32" s="59">
        <v>76620588</v>
      </c>
      <c r="D32" s="134">
        <f t="shared" si="4"/>
        <v>0.28196493888940771</v>
      </c>
    </row>
    <row r="33" spans="1:4">
      <c r="A33" s="129" t="s">
        <v>203</v>
      </c>
      <c r="B33" s="59">
        <v>3156978</v>
      </c>
      <c r="C33" s="59">
        <v>3026986</v>
      </c>
      <c r="D33" s="134">
        <f t="shared" si="4"/>
        <v>1.1139354901702044E-2</v>
      </c>
    </row>
    <row r="34" spans="1:4">
      <c r="A34" s="129" t="s">
        <v>204</v>
      </c>
      <c r="B34" s="59">
        <v>18093148</v>
      </c>
      <c r="C34" s="59">
        <v>18646843</v>
      </c>
      <c r="D34" s="134">
        <f t="shared" si="4"/>
        <v>6.8620668207027863E-2</v>
      </c>
    </row>
    <row r="35" spans="1:4">
      <c r="A35" s="129" t="s">
        <v>205</v>
      </c>
      <c r="B35" s="59">
        <v>19133544</v>
      </c>
      <c r="C35" s="59">
        <v>19935494</v>
      </c>
      <c r="D35" s="134">
        <f t="shared" si="4"/>
        <v>7.3362923649713502E-2</v>
      </c>
    </row>
    <row r="36" spans="1:4">
      <c r="A36" s="129" t="s">
        <v>206</v>
      </c>
      <c r="B36" s="59">
        <v>7281436</v>
      </c>
      <c r="C36" s="59">
        <v>8102144</v>
      </c>
      <c r="D36" s="134">
        <f t="shared" si="4"/>
        <v>2.9816014174064827E-2</v>
      </c>
    </row>
    <row r="37" spans="1:4">
      <c r="A37" s="129" t="s">
        <v>207</v>
      </c>
      <c r="B37" s="59">
        <v>3188031</v>
      </c>
      <c r="C37" s="59">
        <v>3556156</v>
      </c>
      <c r="D37" s="134">
        <f t="shared" si="4"/>
        <v>1.3086708617026023E-2</v>
      </c>
    </row>
    <row r="38" spans="1:4" ht="13.5" thickBot="1">
      <c r="A38" s="135" t="s">
        <v>208</v>
      </c>
      <c r="B38" s="136">
        <v>9432174</v>
      </c>
      <c r="C38" s="136">
        <v>9390937</v>
      </c>
      <c r="D38" s="137">
        <f t="shared" si="4"/>
        <v>3.4558792178928176E-2</v>
      </c>
    </row>
    <row r="39" spans="1:4">
      <c r="B39" s="3"/>
      <c r="C39" s="3"/>
      <c r="D39" s="16"/>
    </row>
    <row r="40" spans="1:4">
      <c r="A40" s="363" t="s">
        <v>184</v>
      </c>
      <c r="B40" s="363"/>
      <c r="C40" s="363"/>
      <c r="D40" s="363"/>
    </row>
    <row r="41" spans="1:4">
      <c r="A41" s="364" t="s">
        <v>109</v>
      </c>
      <c r="B41" s="364"/>
      <c r="C41" s="364"/>
      <c r="D41" s="364"/>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mergeCells count="4">
    <mergeCell ref="A1:D1"/>
    <mergeCell ref="A41:D41"/>
    <mergeCell ref="A40:D40"/>
    <mergeCell ref="A21:D2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52"/>
  <sheetViews>
    <sheetView zoomScaleNormal="100" workbookViewId="0">
      <selection activeCell="C7" sqref="C7:C46"/>
    </sheetView>
  </sheetViews>
  <sheetFormatPr baseColWidth="10" defaultRowHeight="12.75"/>
  <cols>
    <col min="1" max="1" width="37.7109375" customWidth="1"/>
    <col min="2" max="4" width="15.7109375" customWidth="1"/>
  </cols>
  <sheetData>
    <row r="1" spans="1:4" ht="15">
      <c r="A1" s="389" t="s">
        <v>435</v>
      </c>
      <c r="B1" s="394"/>
      <c r="C1" s="394"/>
      <c r="D1" s="394"/>
    </row>
    <row r="2" spans="1:4">
      <c r="A2" s="5" t="s">
        <v>296</v>
      </c>
      <c r="D2" s="2" t="s">
        <v>455</v>
      </c>
    </row>
    <row r="3" spans="1:4" ht="13.5" thickBot="1">
      <c r="A3" s="20"/>
    </row>
    <row r="4" spans="1:4">
      <c r="A4" s="141"/>
      <c r="B4" s="117" t="s">
        <v>730</v>
      </c>
      <c r="C4" s="117" t="s">
        <v>748</v>
      </c>
      <c r="D4" s="140" t="s">
        <v>196</v>
      </c>
    </row>
    <row r="5" spans="1:4">
      <c r="A5" s="17"/>
      <c r="B5" s="17"/>
      <c r="C5" s="17"/>
      <c r="D5" s="17"/>
    </row>
    <row r="6" spans="1:4">
      <c r="A6" s="171" t="s">
        <v>436</v>
      </c>
      <c r="B6" s="17"/>
      <c r="C6" s="17"/>
      <c r="D6" s="17"/>
    </row>
    <row r="7" spans="1:4">
      <c r="A7" s="213" t="s">
        <v>104</v>
      </c>
      <c r="B7" s="125">
        <v>903574</v>
      </c>
      <c r="C7" s="125">
        <v>902785</v>
      </c>
      <c r="D7" s="18">
        <f>C7/B7-1</f>
        <v>-8.731990960342273E-4</v>
      </c>
    </row>
    <row r="8" spans="1:4">
      <c r="A8" s="213" t="s">
        <v>411</v>
      </c>
      <c r="B8" s="125">
        <v>9273</v>
      </c>
      <c r="C8" s="125">
        <v>9693</v>
      </c>
      <c r="D8" s="18">
        <f>C8/B8-1</f>
        <v>4.5292785506308553E-2</v>
      </c>
    </row>
    <row r="9" spans="1:4">
      <c r="A9" s="214" t="s">
        <v>364</v>
      </c>
      <c r="B9" s="125">
        <v>120108</v>
      </c>
      <c r="C9" s="125">
        <v>125755</v>
      </c>
      <c r="D9" s="18">
        <f>C9/B9-1</f>
        <v>4.7016018916308688E-2</v>
      </c>
    </row>
    <row r="10" spans="1:4">
      <c r="A10" s="213" t="s">
        <v>412</v>
      </c>
      <c r="B10" s="59">
        <v>519847</v>
      </c>
      <c r="C10" s="59">
        <v>535883</v>
      </c>
      <c r="D10" s="18">
        <f>C10/B10-1</f>
        <v>3.0847537833247118E-2</v>
      </c>
    </row>
    <row r="11" spans="1:4">
      <c r="A11" s="17"/>
      <c r="B11" s="125"/>
      <c r="C11" s="125"/>
      <c r="D11" s="253"/>
    </row>
    <row r="12" spans="1:4">
      <c r="A12" s="171" t="s">
        <v>437</v>
      </c>
      <c r="B12" s="125"/>
      <c r="C12" s="59"/>
      <c r="D12" s="17"/>
    </row>
    <row r="13" spans="1:4">
      <c r="A13" s="213" t="s">
        <v>104</v>
      </c>
      <c r="B13" s="125">
        <v>611506</v>
      </c>
      <c r="C13" s="125">
        <v>604704</v>
      </c>
      <c r="D13" s="18">
        <f>C13/B13-1</f>
        <v>-1.1123357743014761E-2</v>
      </c>
    </row>
    <row r="14" spans="1:4">
      <c r="A14" s="213" t="s">
        <v>411</v>
      </c>
      <c r="B14" s="125">
        <v>3837</v>
      </c>
      <c r="C14" s="125">
        <v>3907</v>
      </c>
      <c r="D14" s="18">
        <f>C14/B14-1</f>
        <v>1.8243419338024536E-2</v>
      </c>
    </row>
    <row r="15" spans="1:4">
      <c r="A15" s="214" t="s">
        <v>364</v>
      </c>
      <c r="B15" s="125">
        <v>63884</v>
      </c>
      <c r="C15" s="125">
        <v>65284</v>
      </c>
      <c r="D15" s="18">
        <f>C15/B15-1</f>
        <v>2.1914720430780799E-2</v>
      </c>
    </row>
    <row r="16" spans="1:4">
      <c r="A16" s="213" t="s">
        <v>412</v>
      </c>
      <c r="B16" s="125">
        <v>330536</v>
      </c>
      <c r="C16" s="59">
        <v>338196</v>
      </c>
      <c r="D16" s="18">
        <f>C16/B16-1</f>
        <v>2.3174480238158601E-2</v>
      </c>
    </row>
    <row r="17" spans="1:4">
      <c r="A17" s="17"/>
      <c r="B17" s="125"/>
      <c r="C17" s="125"/>
      <c r="D17" s="17"/>
    </row>
    <row r="18" spans="1:4">
      <c r="A18" s="171" t="s">
        <v>438</v>
      </c>
      <c r="B18" s="125"/>
      <c r="C18" s="125"/>
      <c r="D18" s="17"/>
    </row>
    <row r="19" spans="1:4">
      <c r="A19" s="213" t="s">
        <v>104</v>
      </c>
      <c r="B19" s="125">
        <v>1195892</v>
      </c>
      <c r="C19" s="125">
        <v>1154492</v>
      </c>
      <c r="D19" s="18">
        <f>C19/B19-1</f>
        <v>-3.4618510701635241E-2</v>
      </c>
    </row>
    <row r="20" spans="1:4">
      <c r="A20" s="213" t="s">
        <v>411</v>
      </c>
      <c r="B20" s="125">
        <v>25679</v>
      </c>
      <c r="C20" s="333">
        <v>24905</v>
      </c>
      <c r="D20" s="18">
        <f>C20/B20-1</f>
        <v>-3.0141360644884929E-2</v>
      </c>
    </row>
    <row r="21" spans="1:4">
      <c r="A21" s="214" t="s">
        <v>364</v>
      </c>
      <c r="B21" s="125">
        <v>202539</v>
      </c>
      <c r="C21" s="125">
        <v>206715</v>
      </c>
      <c r="D21" s="18">
        <f>C21/B21-1</f>
        <v>2.0618251299749701E-2</v>
      </c>
    </row>
    <row r="22" spans="1:4">
      <c r="A22" s="213" t="s">
        <v>412</v>
      </c>
      <c r="B22" s="125">
        <v>710477</v>
      </c>
      <c r="C22" s="333">
        <v>735207</v>
      </c>
      <c r="D22" s="18">
        <f>C22/B22-1</f>
        <v>3.4807601090534934E-2</v>
      </c>
    </row>
    <row r="23" spans="1:4">
      <c r="A23" s="17"/>
      <c r="B23" s="125"/>
      <c r="C23" s="125"/>
      <c r="D23" s="17"/>
    </row>
    <row r="24" spans="1:4">
      <c r="A24" s="171" t="s">
        <v>439</v>
      </c>
      <c r="B24" s="125"/>
      <c r="C24" s="59"/>
      <c r="D24" s="17"/>
    </row>
    <row r="25" spans="1:4">
      <c r="A25" s="213" t="s">
        <v>104</v>
      </c>
      <c r="B25" s="125">
        <v>823587</v>
      </c>
      <c r="C25" s="125">
        <v>897396</v>
      </c>
      <c r="D25" s="18">
        <f>C25/B25-1</f>
        <v>8.9618947360752488E-2</v>
      </c>
    </row>
    <row r="26" spans="1:4">
      <c r="A26" s="213" t="s">
        <v>411</v>
      </c>
      <c r="B26" s="125">
        <v>12053</v>
      </c>
      <c r="C26" s="125">
        <v>12975</v>
      </c>
      <c r="D26" s="18">
        <f>C26/B26-1</f>
        <v>7.6495478304156705E-2</v>
      </c>
    </row>
    <row r="27" spans="1:4">
      <c r="A27" s="214" t="s">
        <v>364</v>
      </c>
      <c r="B27" s="125">
        <v>115947</v>
      </c>
      <c r="C27" s="125">
        <v>131791</v>
      </c>
      <c r="D27" s="18">
        <f>C27/B27-1</f>
        <v>0.13664864118950892</v>
      </c>
    </row>
    <row r="28" spans="1:4">
      <c r="A28" s="213" t="s">
        <v>412</v>
      </c>
      <c r="B28" s="125">
        <v>535306</v>
      </c>
      <c r="C28" s="59">
        <v>560206</v>
      </c>
      <c r="D28" s="18">
        <f>C28/B28-1</f>
        <v>4.6515450975703532E-2</v>
      </c>
    </row>
    <row r="29" spans="1:4">
      <c r="A29" s="17"/>
      <c r="B29" s="125"/>
      <c r="C29" s="125"/>
      <c r="D29" s="17"/>
    </row>
    <row r="30" spans="1:4">
      <c r="A30" s="171" t="s">
        <v>440</v>
      </c>
      <c r="B30" s="125"/>
      <c r="C30" s="125"/>
      <c r="D30" s="17"/>
    </row>
    <row r="31" spans="1:4">
      <c r="A31" s="213" t="s">
        <v>104</v>
      </c>
      <c r="B31" s="125">
        <v>1007791</v>
      </c>
      <c r="C31" s="125">
        <v>1024634</v>
      </c>
      <c r="D31" s="18">
        <f>C31/B31-1</f>
        <v>1.671279064806086E-2</v>
      </c>
    </row>
    <row r="32" spans="1:4">
      <c r="A32" s="213" t="s">
        <v>411</v>
      </c>
      <c r="B32" s="59">
        <v>11023</v>
      </c>
      <c r="C32" s="59">
        <v>13918</v>
      </c>
      <c r="D32" s="18">
        <f>C32/B32-1</f>
        <v>0.26263267712963811</v>
      </c>
    </row>
    <row r="33" spans="1:4">
      <c r="A33" s="214" t="s">
        <v>364</v>
      </c>
      <c r="B33" s="125">
        <v>143957</v>
      </c>
      <c r="C33" s="125">
        <v>143521</v>
      </c>
      <c r="D33" s="18">
        <f>C33/B33-1</f>
        <v>-3.0286821759275551E-3</v>
      </c>
    </row>
    <row r="34" spans="1:4">
      <c r="A34" s="213" t="s">
        <v>412</v>
      </c>
      <c r="B34" s="125">
        <v>611458</v>
      </c>
      <c r="C34" s="125">
        <v>616327</v>
      </c>
      <c r="D34" s="18">
        <f>C34/B34-1</f>
        <v>7.9629344942744318E-3</v>
      </c>
    </row>
    <row r="35" spans="1:4">
      <c r="A35" s="17"/>
      <c r="B35" s="125"/>
      <c r="C35" s="125"/>
      <c r="D35" s="17"/>
    </row>
    <row r="36" spans="1:4">
      <c r="A36" s="171" t="s">
        <v>441</v>
      </c>
      <c r="B36" s="59"/>
      <c r="C36" s="59"/>
      <c r="D36" s="17"/>
    </row>
    <row r="37" spans="1:4">
      <c r="A37" s="213" t="s">
        <v>104</v>
      </c>
      <c r="B37" s="125">
        <v>946408</v>
      </c>
      <c r="C37" s="125">
        <v>999164</v>
      </c>
      <c r="D37" s="18">
        <f>C37/B37-1</f>
        <v>5.5743400309380409E-2</v>
      </c>
    </row>
    <row r="38" spans="1:4">
      <c r="A38" s="213" t="s">
        <v>411</v>
      </c>
      <c r="B38" s="125">
        <v>12881</v>
      </c>
      <c r="C38" s="125">
        <v>13305</v>
      </c>
      <c r="D38" s="18">
        <f>C38/B38-1</f>
        <v>3.2916699014051698E-2</v>
      </c>
    </row>
    <row r="39" spans="1:4">
      <c r="A39" s="214" t="s">
        <v>364</v>
      </c>
      <c r="B39" s="125">
        <v>161875</v>
      </c>
      <c r="C39" s="125">
        <v>161175</v>
      </c>
      <c r="D39" s="18">
        <f>C39/B39-1</f>
        <v>-4.3243243243242802E-3</v>
      </c>
    </row>
    <row r="40" spans="1:4">
      <c r="A40" s="213" t="s">
        <v>412</v>
      </c>
      <c r="B40" s="59">
        <v>635525</v>
      </c>
      <c r="C40" s="59">
        <v>640505</v>
      </c>
      <c r="D40" s="18">
        <f>C40/B40-1</f>
        <v>7.8360410684079618E-3</v>
      </c>
    </row>
    <row r="41" spans="1:4">
      <c r="A41" s="17"/>
      <c r="B41" s="125"/>
      <c r="C41" s="125"/>
      <c r="D41" s="17"/>
    </row>
    <row r="42" spans="1:4">
      <c r="A42" s="171" t="s">
        <v>442</v>
      </c>
      <c r="B42" s="125"/>
      <c r="C42" s="125"/>
      <c r="D42" s="17"/>
    </row>
    <row r="43" spans="1:4">
      <c r="A43" s="213" t="s">
        <v>104</v>
      </c>
      <c r="B43" s="125">
        <v>1522410</v>
      </c>
      <c r="C43" s="125">
        <v>1438184</v>
      </c>
      <c r="D43" s="18">
        <f>C43/B43-1</f>
        <v>-5.5324124250366147E-2</v>
      </c>
    </row>
    <row r="44" spans="1:4">
      <c r="A44" s="213" t="s">
        <v>411</v>
      </c>
      <c r="B44" s="59">
        <v>15000</v>
      </c>
      <c r="C44" s="59">
        <v>9741</v>
      </c>
      <c r="D44" s="18">
        <f>C44/B44-1</f>
        <v>-0.35060000000000002</v>
      </c>
    </row>
    <row r="45" spans="1:4">
      <c r="A45" s="214" t="s">
        <v>364</v>
      </c>
      <c r="B45" s="125">
        <v>171167</v>
      </c>
      <c r="C45" s="125">
        <v>169894</v>
      </c>
      <c r="D45" s="18">
        <f>C45/B45-1</f>
        <v>-7.4371812323636988E-3</v>
      </c>
    </row>
    <row r="46" spans="1:4" ht="13.5" thickBot="1">
      <c r="A46" s="263" t="s">
        <v>412</v>
      </c>
      <c r="B46" s="163">
        <v>925626</v>
      </c>
      <c r="C46" s="163">
        <v>827679</v>
      </c>
      <c r="D46" s="112">
        <f>C46/B46-1</f>
        <v>-0.10581703625438355</v>
      </c>
    </row>
    <row r="48" spans="1:4">
      <c r="A48" s="329" t="s">
        <v>509</v>
      </c>
    </row>
    <row r="49" spans="1:4" ht="38.25" customHeight="1">
      <c r="A49" s="370" t="s">
        <v>759</v>
      </c>
      <c r="B49" s="371"/>
      <c r="C49" s="371"/>
      <c r="D49" s="371"/>
    </row>
    <row r="51" spans="1:4">
      <c r="A51" s="1" t="s">
        <v>184</v>
      </c>
    </row>
    <row r="52" spans="1:4">
      <c r="A52" t="s">
        <v>197</v>
      </c>
    </row>
  </sheetData>
  <mergeCells count="2">
    <mergeCell ref="A1:D1"/>
    <mergeCell ref="A49:D49"/>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0"/>
  <sheetViews>
    <sheetView zoomScaleNormal="100" workbookViewId="0">
      <selection activeCell="C17" sqref="C17"/>
    </sheetView>
  </sheetViews>
  <sheetFormatPr baseColWidth="10" defaultRowHeight="12.75"/>
  <cols>
    <col min="1" max="1" width="16.140625" customWidth="1"/>
    <col min="2" max="7" width="11.5703125" customWidth="1"/>
  </cols>
  <sheetData>
    <row r="1" spans="1:7" ht="15">
      <c r="A1" s="360" t="s">
        <v>581</v>
      </c>
      <c r="B1" s="360"/>
      <c r="C1" s="360"/>
      <c r="D1" s="360"/>
      <c r="E1" s="360"/>
      <c r="F1" s="360"/>
      <c r="G1" s="360"/>
    </row>
    <row r="2" spans="1:7">
      <c r="A2" s="5" t="s">
        <v>296</v>
      </c>
      <c r="G2" s="2" t="s">
        <v>573</v>
      </c>
    </row>
    <row r="3" spans="1:7" ht="13.5" thickBot="1">
      <c r="A3" s="20"/>
    </row>
    <row r="4" spans="1:7">
      <c r="A4" s="117" t="s">
        <v>731</v>
      </c>
      <c r="B4" s="117" t="s">
        <v>211</v>
      </c>
      <c r="C4" s="117" t="s">
        <v>566</v>
      </c>
      <c r="D4" s="117" t="s">
        <v>567</v>
      </c>
      <c r="E4" s="117" t="s">
        <v>568</v>
      </c>
      <c r="F4" s="117" t="s">
        <v>569</v>
      </c>
      <c r="G4" s="117" t="s">
        <v>214</v>
      </c>
    </row>
    <row r="5" spans="1:7">
      <c r="A5" s="17"/>
      <c r="B5" s="17"/>
      <c r="C5" s="17"/>
      <c r="D5" s="17"/>
      <c r="E5" s="17"/>
      <c r="F5" s="17"/>
      <c r="G5" s="17"/>
    </row>
    <row r="6" spans="1:7">
      <c r="A6" s="171" t="s">
        <v>104</v>
      </c>
      <c r="B6" s="125">
        <v>460087</v>
      </c>
      <c r="C6" s="59">
        <v>815495</v>
      </c>
      <c r="D6" s="59">
        <v>260776</v>
      </c>
      <c r="E6" s="59">
        <v>259247</v>
      </c>
      <c r="F6" s="59">
        <v>1292016</v>
      </c>
      <c r="G6" s="59">
        <v>427158</v>
      </c>
    </row>
    <row r="7" spans="1:7">
      <c r="A7" s="17" t="s">
        <v>414</v>
      </c>
      <c r="B7" s="194">
        <v>0</v>
      </c>
      <c r="C7" s="194">
        <v>743</v>
      </c>
      <c r="D7" s="194">
        <v>508</v>
      </c>
      <c r="E7" s="194">
        <v>0</v>
      </c>
      <c r="F7" s="194">
        <v>1165</v>
      </c>
      <c r="G7" s="194">
        <v>0</v>
      </c>
    </row>
    <row r="8" spans="1:7">
      <c r="A8" s="171" t="s">
        <v>392</v>
      </c>
      <c r="B8" s="252">
        <v>0</v>
      </c>
      <c r="C8" s="252">
        <v>3609</v>
      </c>
      <c r="D8" s="252">
        <v>2673</v>
      </c>
      <c r="E8" s="252">
        <v>0</v>
      </c>
      <c r="F8" s="252">
        <v>5090</v>
      </c>
      <c r="G8" s="194">
        <v>0</v>
      </c>
    </row>
    <row r="9" spans="1:7">
      <c r="A9" s="171" t="s">
        <v>411</v>
      </c>
      <c r="B9" s="252">
        <v>0</v>
      </c>
      <c r="C9" s="252">
        <v>22745</v>
      </c>
      <c r="D9" s="252">
        <v>14333</v>
      </c>
      <c r="E9" s="252">
        <v>0</v>
      </c>
      <c r="F9" s="125">
        <v>52869</v>
      </c>
      <c r="G9" s="194">
        <v>0</v>
      </c>
    </row>
    <row r="10" spans="1:7">
      <c r="A10" s="17" t="s">
        <v>364</v>
      </c>
      <c r="B10" s="125">
        <v>127016</v>
      </c>
      <c r="C10" s="125">
        <v>121282</v>
      </c>
      <c r="D10" s="125">
        <v>73539</v>
      </c>
      <c r="E10" s="252">
        <v>0</v>
      </c>
      <c r="F10" s="125">
        <v>391704</v>
      </c>
      <c r="G10" s="194">
        <v>30080</v>
      </c>
    </row>
    <row r="11" spans="1:7">
      <c r="A11" s="171" t="s">
        <v>412</v>
      </c>
      <c r="B11" s="59">
        <v>504194</v>
      </c>
      <c r="C11" s="59">
        <v>429871</v>
      </c>
      <c r="D11" s="125">
        <v>231310</v>
      </c>
      <c r="E11" s="59">
        <v>20529</v>
      </c>
      <c r="F11" s="125">
        <v>977097</v>
      </c>
      <c r="G11" s="59">
        <v>460000</v>
      </c>
    </row>
    <row r="12" spans="1:7">
      <c r="A12" s="171" t="s">
        <v>400</v>
      </c>
      <c r="B12" s="125">
        <v>1040389</v>
      </c>
      <c r="C12" s="125">
        <v>1242900</v>
      </c>
      <c r="D12" s="125">
        <v>554370</v>
      </c>
      <c r="E12" s="125">
        <v>260658</v>
      </c>
      <c r="F12" s="125">
        <v>2306598</v>
      </c>
      <c r="G12" s="59">
        <v>974000</v>
      </c>
    </row>
    <row r="13" spans="1:7" ht="13.5" thickBot="1">
      <c r="A13" s="104" t="s">
        <v>415</v>
      </c>
      <c r="B13" s="163">
        <v>1690470</v>
      </c>
      <c r="C13" s="163">
        <v>2602099</v>
      </c>
      <c r="D13" s="163">
        <v>938624</v>
      </c>
      <c r="E13" s="163">
        <v>746692</v>
      </c>
      <c r="F13" s="163">
        <v>4266718</v>
      </c>
      <c r="G13" s="136">
        <v>1575322</v>
      </c>
    </row>
    <row r="14" spans="1:7" ht="13.5" thickBot="1">
      <c r="B14" s="33"/>
      <c r="C14" s="33"/>
      <c r="D14" s="33"/>
      <c r="E14" s="33"/>
      <c r="F14" s="33"/>
      <c r="G14" s="3"/>
    </row>
    <row r="15" spans="1:7">
      <c r="A15" s="117" t="s">
        <v>749</v>
      </c>
      <c r="B15" s="117" t="s">
        <v>211</v>
      </c>
      <c r="C15" s="117" t="s">
        <v>566</v>
      </c>
      <c r="D15" s="117" t="s">
        <v>567</v>
      </c>
      <c r="E15" s="117" t="s">
        <v>568</v>
      </c>
      <c r="F15" s="117" t="s">
        <v>569</v>
      </c>
      <c r="G15" s="117" t="s">
        <v>214</v>
      </c>
    </row>
    <row r="16" spans="1:7">
      <c r="A16" s="17"/>
      <c r="B16" s="17"/>
      <c r="C16" s="17"/>
      <c r="D16" s="17"/>
      <c r="E16" s="17"/>
      <c r="F16" s="17"/>
      <c r="G16" s="17"/>
    </row>
    <row r="17" spans="1:7">
      <c r="A17" s="171" t="s">
        <v>104</v>
      </c>
      <c r="B17" s="125">
        <v>477430</v>
      </c>
      <c r="C17" s="59">
        <v>803478</v>
      </c>
      <c r="D17" s="59">
        <v>274639</v>
      </c>
      <c r="E17" s="59">
        <v>238171</v>
      </c>
      <c r="F17" s="59">
        <v>1297194</v>
      </c>
      <c r="G17" s="59">
        <v>433830</v>
      </c>
    </row>
    <row r="18" spans="1:7">
      <c r="A18" s="17" t="s">
        <v>414</v>
      </c>
      <c r="B18" s="194">
        <v>0</v>
      </c>
      <c r="C18" s="194">
        <v>790</v>
      </c>
      <c r="D18" s="194">
        <v>564</v>
      </c>
      <c r="E18" s="194">
        <v>0</v>
      </c>
      <c r="F18" s="194">
        <v>1256</v>
      </c>
      <c r="G18" s="194">
        <v>0</v>
      </c>
    </row>
    <row r="19" spans="1:7">
      <c r="A19" s="171" t="s">
        <v>392</v>
      </c>
      <c r="B19" s="252">
        <v>0</v>
      </c>
      <c r="C19" s="252">
        <v>3466</v>
      </c>
      <c r="D19" s="252">
        <v>2605</v>
      </c>
      <c r="E19" s="252">
        <v>0</v>
      </c>
      <c r="F19" s="252">
        <v>5076</v>
      </c>
      <c r="G19" s="194">
        <v>0</v>
      </c>
    </row>
    <row r="20" spans="1:7">
      <c r="A20" s="171" t="s">
        <v>411</v>
      </c>
      <c r="B20" s="252">
        <v>0</v>
      </c>
      <c r="C20" s="252">
        <v>22861</v>
      </c>
      <c r="D20" s="252">
        <v>14792</v>
      </c>
      <c r="E20" s="252">
        <v>0</v>
      </c>
      <c r="F20" s="125">
        <v>53711</v>
      </c>
      <c r="G20" s="194">
        <v>0</v>
      </c>
    </row>
    <row r="21" spans="1:7">
      <c r="A21" s="17" t="s">
        <v>364</v>
      </c>
      <c r="B21" s="125">
        <v>129238</v>
      </c>
      <c r="C21" s="125">
        <v>126645</v>
      </c>
      <c r="D21" s="125">
        <v>75071</v>
      </c>
      <c r="E21" s="252">
        <v>0</v>
      </c>
      <c r="F21" s="125">
        <v>400513</v>
      </c>
      <c r="G21" s="194">
        <v>30862</v>
      </c>
    </row>
    <row r="22" spans="1:7">
      <c r="A22" s="171" t="s">
        <v>412</v>
      </c>
      <c r="B22" s="59">
        <v>520000</v>
      </c>
      <c r="C22" s="59">
        <v>435709</v>
      </c>
      <c r="D22" s="333">
        <v>236875</v>
      </c>
      <c r="E22" s="59">
        <v>24069</v>
      </c>
      <c r="F22" s="125">
        <v>995744</v>
      </c>
      <c r="G22" s="59">
        <v>461725</v>
      </c>
    </row>
    <row r="23" spans="1:7">
      <c r="A23" s="171" t="s">
        <v>400</v>
      </c>
      <c r="B23" s="125">
        <v>1066231</v>
      </c>
      <c r="C23" s="125">
        <v>1248397</v>
      </c>
      <c r="D23" s="125">
        <v>564576</v>
      </c>
      <c r="E23" s="125">
        <v>260237</v>
      </c>
      <c r="F23" s="125">
        <v>2302014</v>
      </c>
      <c r="G23" s="59">
        <v>987672</v>
      </c>
    </row>
    <row r="24" spans="1:7" ht="13.5" thickBot="1">
      <c r="A24" s="104" t="s">
        <v>415</v>
      </c>
      <c r="B24" s="163">
        <v>1736810</v>
      </c>
      <c r="C24" s="163">
        <v>2586620</v>
      </c>
      <c r="D24" s="163">
        <v>939593</v>
      </c>
      <c r="E24" s="163">
        <v>726669</v>
      </c>
      <c r="F24" s="163">
        <v>4312521</v>
      </c>
      <c r="G24" s="136">
        <v>1602308</v>
      </c>
    </row>
    <row r="25" spans="1:7">
      <c r="B25" s="33"/>
      <c r="C25" s="33"/>
      <c r="D25" s="33"/>
      <c r="E25" s="33"/>
      <c r="F25" s="33"/>
      <c r="G25" s="3"/>
    </row>
    <row r="26" spans="1:7">
      <c r="A26" s="329" t="s">
        <v>509</v>
      </c>
    </row>
    <row r="27" spans="1:7" ht="26.25" customHeight="1">
      <c r="A27" s="384" t="s">
        <v>760</v>
      </c>
      <c r="B27" s="383"/>
      <c r="C27" s="383"/>
      <c r="D27" s="383"/>
      <c r="E27" s="383"/>
      <c r="F27" s="383"/>
      <c r="G27" s="383"/>
    </row>
    <row r="29" spans="1:7">
      <c r="A29" s="1" t="s">
        <v>184</v>
      </c>
    </row>
    <row r="30" spans="1:7">
      <c r="A30" t="s">
        <v>197</v>
      </c>
    </row>
  </sheetData>
  <mergeCells count="2">
    <mergeCell ref="A27:G27"/>
    <mergeCell ref="A1:G1"/>
  </mergeCells>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31"/>
  <sheetViews>
    <sheetView zoomScaleNormal="100" workbookViewId="0">
      <selection activeCell="C17" sqref="C17"/>
    </sheetView>
  </sheetViews>
  <sheetFormatPr baseColWidth="10" defaultRowHeight="12.75"/>
  <cols>
    <col min="1" max="1" width="19.7109375" customWidth="1"/>
    <col min="2" max="10" width="7.7109375" customWidth="1"/>
  </cols>
  <sheetData>
    <row r="1" spans="1:10" ht="15">
      <c r="A1" s="360" t="s">
        <v>574</v>
      </c>
      <c r="B1" s="360"/>
      <c r="C1" s="360"/>
      <c r="D1" s="360"/>
      <c r="E1" s="360"/>
      <c r="F1" s="360"/>
      <c r="G1" s="360"/>
      <c r="H1" s="360"/>
      <c r="I1" s="360"/>
      <c r="J1" s="360"/>
    </row>
    <row r="2" spans="1:10" ht="13.5" thickBot="1">
      <c r="A2" s="5"/>
      <c r="J2" s="2" t="s">
        <v>575</v>
      </c>
    </row>
    <row r="3" spans="1:10">
      <c r="A3" s="142"/>
      <c r="B3" s="91" t="s">
        <v>214</v>
      </c>
      <c r="C3" s="108"/>
      <c r="D3" s="108"/>
      <c r="E3" s="108"/>
      <c r="F3" s="108"/>
      <c r="G3" s="108"/>
      <c r="H3" s="108"/>
      <c r="I3" s="108"/>
      <c r="J3" s="108"/>
    </row>
    <row r="4" spans="1:10">
      <c r="A4" s="254" t="s">
        <v>731</v>
      </c>
      <c r="B4" s="255" t="s">
        <v>100</v>
      </c>
      <c r="C4" s="255" t="s">
        <v>376</v>
      </c>
      <c r="D4" s="256" t="s">
        <v>377</v>
      </c>
      <c r="E4" s="256" t="s">
        <v>378</v>
      </c>
      <c r="F4" s="255" t="s">
        <v>379</v>
      </c>
      <c r="G4" s="256" t="s">
        <v>380</v>
      </c>
      <c r="H4" s="256" t="s">
        <v>381</v>
      </c>
      <c r="I4" s="255" t="s">
        <v>382</v>
      </c>
      <c r="J4" s="257" t="s">
        <v>383</v>
      </c>
    </row>
    <row r="5" spans="1:10">
      <c r="A5" s="179" t="s">
        <v>569</v>
      </c>
      <c r="B5" s="145"/>
      <c r="C5" s="145"/>
      <c r="D5" s="145"/>
      <c r="E5" s="145"/>
      <c r="F5" s="145"/>
      <c r="G5" s="145"/>
      <c r="H5" s="17"/>
      <c r="I5" s="17"/>
      <c r="J5" s="17"/>
    </row>
    <row r="6" spans="1:10">
      <c r="A6" s="121" t="s">
        <v>100</v>
      </c>
      <c r="B6" s="147">
        <v>1</v>
      </c>
      <c r="C6" s="147">
        <v>0.51690000000000003</v>
      </c>
      <c r="D6" s="147">
        <v>3.5700000000000003E-2</v>
      </c>
      <c r="E6" s="147">
        <v>5.6300000000000003E-2</v>
      </c>
      <c r="F6" s="147">
        <v>5.57E-2</v>
      </c>
      <c r="G6" s="147">
        <v>5.6000000000000001E-2</v>
      </c>
      <c r="H6" s="147">
        <v>5.1200000000000002E-2</v>
      </c>
      <c r="I6" s="147">
        <v>0.13200000000000001</v>
      </c>
      <c r="J6" s="147">
        <v>9.6199999999999994E-2</v>
      </c>
    </row>
    <row r="7" spans="1:10">
      <c r="A7" s="145" t="s">
        <v>376</v>
      </c>
      <c r="B7" s="147">
        <v>0.2447</v>
      </c>
      <c r="C7" s="147">
        <v>0.23669999999999999</v>
      </c>
      <c r="D7" s="147">
        <v>4.4000000000000003E-3</v>
      </c>
      <c r="E7" s="147">
        <v>2.0999999999999999E-3</v>
      </c>
      <c r="F7" s="147">
        <v>5.0000000000000001E-4</v>
      </c>
      <c r="G7" s="147">
        <v>8.0000000000000004E-4</v>
      </c>
      <c r="H7" s="147">
        <v>1E-4</v>
      </c>
      <c r="I7" s="147">
        <v>2.0000000000000001E-4</v>
      </c>
      <c r="J7" s="147">
        <v>1E-4</v>
      </c>
    </row>
    <row r="8" spans="1:10">
      <c r="A8" s="121" t="s">
        <v>377</v>
      </c>
      <c r="B8" s="147">
        <v>6.4799999999999996E-2</v>
      </c>
      <c r="C8" s="147">
        <v>5.7200000000000001E-2</v>
      </c>
      <c r="D8" s="147">
        <v>3.3E-3</v>
      </c>
      <c r="E8" s="147">
        <v>1.6999999999999999E-3</v>
      </c>
      <c r="F8" s="147">
        <v>1E-3</v>
      </c>
      <c r="G8" s="147">
        <v>8.0000000000000004E-4</v>
      </c>
      <c r="H8" s="147">
        <v>2.9999999999999997E-4</v>
      </c>
      <c r="I8" s="147">
        <v>4.0000000000000002E-4</v>
      </c>
      <c r="J8" s="147">
        <v>1E-4</v>
      </c>
    </row>
    <row r="9" spans="1:10">
      <c r="A9" s="121" t="s">
        <v>378</v>
      </c>
      <c r="B9" s="147">
        <v>7.8799999999999995E-2</v>
      </c>
      <c r="C9" s="147">
        <v>5.6599999999999998E-2</v>
      </c>
      <c r="D9" s="147">
        <v>5.4999999999999997E-3</v>
      </c>
      <c r="E9" s="147">
        <v>6.0000000000000001E-3</v>
      </c>
      <c r="F9" s="147">
        <v>4.4000000000000003E-3</v>
      </c>
      <c r="G9" s="147">
        <v>2.3999999999999998E-3</v>
      </c>
      <c r="H9" s="147">
        <v>1.2999999999999999E-3</v>
      </c>
      <c r="I9" s="147">
        <v>2.5999999999999999E-3</v>
      </c>
      <c r="J9" s="147">
        <v>1E-4</v>
      </c>
    </row>
    <row r="10" spans="1:10">
      <c r="A10" s="145" t="s">
        <v>379</v>
      </c>
      <c r="B10" s="147">
        <v>6.08E-2</v>
      </c>
      <c r="C10" s="147">
        <v>3.1800000000000002E-2</v>
      </c>
      <c r="D10" s="147">
        <v>2.7000000000000001E-3</v>
      </c>
      <c r="E10" s="147">
        <v>7.7000000000000002E-3</v>
      </c>
      <c r="F10" s="147">
        <v>5.4000000000000003E-3</v>
      </c>
      <c r="G10" s="147">
        <v>5.3E-3</v>
      </c>
      <c r="H10" s="147">
        <v>3.7000000000000002E-3</v>
      </c>
      <c r="I10" s="147">
        <v>3.5999999999999999E-3</v>
      </c>
      <c r="J10" s="147">
        <v>5.0000000000000001E-4</v>
      </c>
    </row>
    <row r="11" spans="1:10">
      <c r="A11" s="121" t="s">
        <v>380</v>
      </c>
      <c r="B11" s="147">
        <v>5.5899999999999998E-2</v>
      </c>
      <c r="C11" s="147">
        <v>2.18E-2</v>
      </c>
      <c r="D11" s="147">
        <v>3.8E-3</v>
      </c>
      <c r="E11" s="147">
        <v>6.1999999999999998E-3</v>
      </c>
      <c r="F11" s="147">
        <v>6.3E-3</v>
      </c>
      <c r="G11" s="147">
        <v>6.7999999999999996E-3</v>
      </c>
      <c r="H11" s="147">
        <v>5.0000000000000001E-3</v>
      </c>
      <c r="I11" s="147">
        <v>5.4999999999999997E-3</v>
      </c>
      <c r="J11" s="147">
        <v>5.0000000000000001E-4</v>
      </c>
    </row>
    <row r="12" spans="1:10">
      <c r="A12" s="121" t="s">
        <v>381</v>
      </c>
      <c r="B12" s="147">
        <v>5.7500000000000002E-2</v>
      </c>
      <c r="C12" s="147">
        <v>1.61E-2</v>
      </c>
      <c r="D12" s="147">
        <v>2.5999999999999999E-3</v>
      </c>
      <c r="E12" s="147">
        <v>5.4000000000000003E-3</v>
      </c>
      <c r="F12" s="147">
        <v>7.0000000000000001E-3</v>
      </c>
      <c r="G12" s="147">
        <v>8.8999999999999999E-3</v>
      </c>
      <c r="H12" s="147">
        <v>7.4999999999999997E-3</v>
      </c>
      <c r="I12" s="147">
        <v>9.5999999999999992E-3</v>
      </c>
      <c r="J12" s="147">
        <v>2.9999999999999997E-4</v>
      </c>
    </row>
    <row r="13" spans="1:10">
      <c r="A13" s="145" t="s">
        <v>382</v>
      </c>
      <c r="B13" s="147">
        <v>0.19270000000000001</v>
      </c>
      <c r="C13" s="147">
        <v>4.1000000000000002E-2</v>
      </c>
      <c r="D13" s="147">
        <v>6.1999999999999998E-3</v>
      </c>
      <c r="E13" s="147">
        <v>1.5100000000000001E-2</v>
      </c>
      <c r="F13" s="147">
        <v>1.8200000000000001E-2</v>
      </c>
      <c r="G13" s="147">
        <v>1.9599999999999999E-2</v>
      </c>
      <c r="H13" s="147">
        <v>2.1499999999999998E-2</v>
      </c>
      <c r="I13" s="147">
        <v>6.0400000000000002E-2</v>
      </c>
      <c r="J13" s="147">
        <v>1.06E-2</v>
      </c>
    </row>
    <row r="14" spans="1:10" ht="13.5" thickBot="1">
      <c r="A14" s="165" t="s">
        <v>383</v>
      </c>
      <c r="B14" s="152">
        <v>0.24460000000000001</v>
      </c>
      <c r="C14" s="152">
        <v>5.5599999999999997E-2</v>
      </c>
      <c r="D14" s="152">
        <v>7.1999999999999998E-3</v>
      </c>
      <c r="E14" s="152">
        <v>1.21E-2</v>
      </c>
      <c r="F14" s="152">
        <v>1.29E-2</v>
      </c>
      <c r="G14" s="152">
        <v>1.14E-2</v>
      </c>
      <c r="H14" s="152">
        <v>1.18E-2</v>
      </c>
      <c r="I14" s="152">
        <v>4.9599999999999998E-2</v>
      </c>
      <c r="J14" s="152">
        <v>8.4000000000000005E-2</v>
      </c>
    </row>
    <row r="15" spans="1:10" ht="13.5" thickBot="1">
      <c r="A15" s="145"/>
      <c r="B15" s="147"/>
      <c r="C15" s="147"/>
      <c r="D15" s="147"/>
      <c r="E15" s="147"/>
      <c r="F15" s="147"/>
      <c r="G15" s="147"/>
      <c r="H15" s="147"/>
      <c r="I15" s="147"/>
      <c r="J15" s="147"/>
    </row>
    <row r="16" spans="1:10">
      <c r="A16" s="142"/>
      <c r="B16" s="91" t="s">
        <v>214</v>
      </c>
      <c r="C16" s="108"/>
      <c r="D16" s="108"/>
      <c r="E16" s="108"/>
      <c r="F16" s="108"/>
      <c r="G16" s="108"/>
      <c r="H16" s="108"/>
      <c r="I16" s="108"/>
      <c r="J16" s="108"/>
    </row>
    <row r="17" spans="1:10">
      <c r="A17" s="254" t="s">
        <v>749</v>
      </c>
      <c r="B17" s="255" t="s">
        <v>100</v>
      </c>
      <c r="C17" s="255" t="s">
        <v>376</v>
      </c>
      <c r="D17" s="256" t="s">
        <v>377</v>
      </c>
      <c r="E17" s="256" t="s">
        <v>378</v>
      </c>
      <c r="F17" s="255" t="s">
        <v>379</v>
      </c>
      <c r="G17" s="256" t="s">
        <v>380</v>
      </c>
      <c r="H17" s="256" t="s">
        <v>381</v>
      </c>
      <c r="I17" s="255" t="s">
        <v>382</v>
      </c>
      <c r="J17" s="257" t="s">
        <v>383</v>
      </c>
    </row>
    <row r="18" spans="1:10">
      <c r="A18" s="179" t="s">
        <v>569</v>
      </c>
      <c r="B18" s="145"/>
      <c r="C18" s="145"/>
      <c r="D18" s="145"/>
      <c r="E18" s="145"/>
      <c r="F18" s="145"/>
      <c r="G18" s="145"/>
      <c r="H18" s="17"/>
      <c r="I18" s="17"/>
      <c r="J18" s="17"/>
    </row>
    <row r="19" spans="1:10">
      <c r="A19" s="121" t="s">
        <v>100</v>
      </c>
      <c r="B19" s="147">
        <v>1</v>
      </c>
      <c r="C19" s="147">
        <v>0.51829999999999998</v>
      </c>
      <c r="D19" s="147">
        <v>3.3799999999999997E-2</v>
      </c>
      <c r="E19" s="147">
        <v>5.45E-2</v>
      </c>
      <c r="F19" s="147">
        <v>5.4399999999999997E-2</v>
      </c>
      <c r="G19" s="147">
        <v>5.79E-2</v>
      </c>
      <c r="H19" s="147">
        <v>5.0799999999999998E-2</v>
      </c>
      <c r="I19" s="147">
        <v>0.1336</v>
      </c>
      <c r="J19" s="147">
        <v>9.6799999999999997E-2</v>
      </c>
    </row>
    <row r="20" spans="1:10">
      <c r="A20" s="145" t="s">
        <v>376</v>
      </c>
      <c r="B20" s="147">
        <v>0.24310000000000001</v>
      </c>
      <c r="C20" s="332">
        <v>0.23469999999999999</v>
      </c>
      <c r="D20" s="147">
        <v>4.3E-3</v>
      </c>
      <c r="E20" s="147">
        <v>2.0999999999999999E-3</v>
      </c>
      <c r="F20" s="147">
        <v>5.0000000000000001E-4</v>
      </c>
      <c r="G20" s="147">
        <v>6.9999999999999999E-4</v>
      </c>
      <c r="H20" s="147">
        <v>2.0000000000000001E-4</v>
      </c>
      <c r="I20" s="147">
        <v>2.9999999999999997E-4</v>
      </c>
      <c r="J20" s="147">
        <v>2.0000000000000001E-4</v>
      </c>
    </row>
    <row r="21" spans="1:10">
      <c r="A21" s="121" t="s">
        <v>377</v>
      </c>
      <c r="B21" s="147">
        <v>6.3600000000000004E-2</v>
      </c>
      <c r="C21" s="147">
        <v>5.6800000000000003E-2</v>
      </c>
      <c r="D21" s="147">
        <v>2.8E-3</v>
      </c>
      <c r="E21" s="147">
        <v>1.8E-3</v>
      </c>
      <c r="F21" s="147">
        <v>6.9999999999999999E-4</v>
      </c>
      <c r="G21" s="147">
        <v>8.0000000000000004E-4</v>
      </c>
      <c r="H21" s="147">
        <v>2.9999999999999997E-4</v>
      </c>
      <c r="I21" s="147">
        <v>2.9999999999999997E-4</v>
      </c>
      <c r="J21" s="147">
        <v>1E-4</v>
      </c>
    </row>
    <row r="22" spans="1:10">
      <c r="A22" s="121" t="s">
        <v>378</v>
      </c>
      <c r="B22" s="147">
        <v>7.9299999999999995E-2</v>
      </c>
      <c r="C22" s="147">
        <v>5.7599999999999998E-2</v>
      </c>
      <c r="D22" s="147">
        <v>5.7000000000000002E-3</v>
      </c>
      <c r="E22" s="147">
        <v>5.1999999999999998E-3</v>
      </c>
      <c r="F22" s="147">
        <v>3.8E-3</v>
      </c>
      <c r="G22" s="147">
        <v>2.5999999999999999E-3</v>
      </c>
      <c r="H22" s="147">
        <v>1.6000000000000001E-3</v>
      </c>
      <c r="I22" s="147">
        <v>2.5999999999999999E-3</v>
      </c>
      <c r="J22" s="147">
        <v>1E-4</v>
      </c>
    </row>
    <row r="23" spans="1:10">
      <c r="A23" s="145" t="s">
        <v>379</v>
      </c>
      <c r="B23" s="147">
        <v>5.8400000000000001E-2</v>
      </c>
      <c r="C23" s="147">
        <v>3.2099999999999997E-2</v>
      </c>
      <c r="D23" s="147">
        <v>2.8E-3</v>
      </c>
      <c r="E23" s="147">
        <v>6.4000000000000003E-3</v>
      </c>
      <c r="F23" s="147">
        <v>4.4999999999999997E-3</v>
      </c>
      <c r="G23" s="147">
        <v>5.4999999999999997E-3</v>
      </c>
      <c r="H23" s="147">
        <v>3.5999999999999999E-3</v>
      </c>
      <c r="I23" s="147">
        <v>3.0000000000000001E-3</v>
      </c>
      <c r="J23" s="147">
        <v>5.0000000000000001E-4</v>
      </c>
    </row>
    <row r="24" spans="1:10">
      <c r="A24" s="121" t="s">
        <v>380</v>
      </c>
      <c r="B24" s="147">
        <v>5.5100000000000003E-2</v>
      </c>
      <c r="C24" s="147">
        <v>2.1299999999999999E-2</v>
      </c>
      <c r="D24" s="147">
        <v>2.5000000000000001E-3</v>
      </c>
      <c r="E24" s="147">
        <v>6.7000000000000002E-3</v>
      </c>
      <c r="F24" s="147">
        <v>6.4000000000000003E-3</v>
      </c>
      <c r="G24" s="147">
        <v>6.7000000000000002E-3</v>
      </c>
      <c r="H24" s="147">
        <v>4.4999999999999997E-3</v>
      </c>
      <c r="I24" s="147">
        <v>6.6E-3</v>
      </c>
      <c r="J24" s="147">
        <v>5.9999999999999995E-4</v>
      </c>
    </row>
    <row r="25" spans="1:10">
      <c r="A25" s="121" t="s">
        <v>381</v>
      </c>
      <c r="B25" s="147">
        <v>5.7700000000000001E-2</v>
      </c>
      <c r="C25" s="147">
        <v>1.7600000000000001E-2</v>
      </c>
      <c r="D25" s="147">
        <v>2.7000000000000001E-3</v>
      </c>
      <c r="E25" s="147">
        <v>6.1000000000000004E-3</v>
      </c>
      <c r="F25" s="147">
        <v>6.6E-3</v>
      </c>
      <c r="G25" s="147">
        <v>8.8000000000000005E-3</v>
      </c>
      <c r="H25" s="147">
        <v>7.1000000000000004E-3</v>
      </c>
      <c r="I25" s="147">
        <v>8.3999999999999995E-3</v>
      </c>
      <c r="J25" s="147">
        <v>2.9999999999999997E-4</v>
      </c>
    </row>
    <row r="26" spans="1:10">
      <c r="A26" s="145" t="s">
        <v>382</v>
      </c>
      <c r="B26" s="147">
        <v>0.19359999999999999</v>
      </c>
      <c r="C26" s="147">
        <v>4.1200000000000001E-2</v>
      </c>
      <c r="D26" s="147">
        <v>5.7000000000000002E-3</v>
      </c>
      <c r="E26" s="147">
        <v>1.4800000000000001E-2</v>
      </c>
      <c r="F26" s="147">
        <v>1.9099999999999999E-2</v>
      </c>
      <c r="G26" s="147">
        <v>1.9599999999999999E-2</v>
      </c>
      <c r="H26" s="147">
        <v>2.1299999999999999E-2</v>
      </c>
      <c r="I26" s="147">
        <v>6.1400000000000003E-2</v>
      </c>
      <c r="J26" s="332">
        <v>1.0500000000000001E-2</v>
      </c>
    </row>
    <row r="27" spans="1:10" ht="13.5" thickBot="1">
      <c r="A27" s="165" t="s">
        <v>383</v>
      </c>
      <c r="B27" s="152">
        <v>0.249</v>
      </c>
      <c r="C27" s="152">
        <v>5.7000000000000002E-2</v>
      </c>
      <c r="D27" s="152">
        <v>7.1999999999999998E-3</v>
      </c>
      <c r="E27" s="152">
        <v>1.1299999999999999E-2</v>
      </c>
      <c r="F27" s="152">
        <v>1.2699999999999999E-2</v>
      </c>
      <c r="G27" s="152">
        <v>1.3100000000000001E-2</v>
      </c>
      <c r="H27" s="152">
        <v>1.24E-2</v>
      </c>
      <c r="I27" s="152">
        <v>5.0999999999999997E-2</v>
      </c>
      <c r="J27" s="152">
        <v>8.4500000000000006E-2</v>
      </c>
    </row>
    <row r="29" spans="1:10">
      <c r="A29" s="329" t="s">
        <v>509</v>
      </c>
    </row>
    <row r="30" spans="1:10" ht="38.25" customHeight="1">
      <c r="A30" s="384" t="s">
        <v>761</v>
      </c>
      <c r="B30" s="383"/>
      <c r="C30" s="383"/>
      <c r="D30" s="383"/>
      <c r="E30" s="383"/>
      <c r="F30" s="383"/>
      <c r="G30" s="383"/>
      <c r="H30" s="383"/>
      <c r="I30" s="383"/>
      <c r="J30" s="383"/>
    </row>
    <row r="31" spans="1:10">
      <c r="B31" s="20"/>
      <c r="C31" s="35"/>
      <c r="D31" s="35"/>
      <c r="E31" s="20"/>
      <c r="F31" s="35"/>
      <c r="G31" s="35"/>
      <c r="H31" s="20"/>
      <c r="I31" s="20"/>
    </row>
  </sheetData>
  <mergeCells count="2">
    <mergeCell ref="A30:J30"/>
    <mergeCell ref="A1:J1"/>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8"/>
  <sheetViews>
    <sheetView zoomScaleNormal="100" workbookViewId="0">
      <selection activeCell="C17" sqref="C17"/>
    </sheetView>
  </sheetViews>
  <sheetFormatPr baseColWidth="10" defaultRowHeight="12.75"/>
  <cols>
    <col min="1" max="1" width="22" customWidth="1"/>
    <col min="2" max="6" width="10.42578125" customWidth="1"/>
    <col min="7" max="7" width="11" customWidth="1"/>
  </cols>
  <sheetData>
    <row r="1" spans="1:7" ht="15">
      <c r="A1" s="389" t="s">
        <v>444</v>
      </c>
      <c r="B1" s="394"/>
      <c r="C1" s="394"/>
      <c r="D1" s="394"/>
      <c r="E1" s="394"/>
      <c r="F1" s="394"/>
      <c r="G1" s="394"/>
    </row>
    <row r="2" spans="1:7">
      <c r="G2" s="2" t="s">
        <v>443</v>
      </c>
    </row>
    <row r="3" spans="1:7" ht="13.5" thickBot="1">
      <c r="A3" s="20"/>
    </row>
    <row r="4" spans="1:7">
      <c r="A4" s="108"/>
      <c r="B4" s="91" t="s">
        <v>730</v>
      </c>
      <c r="C4" s="108"/>
      <c r="D4" s="108"/>
      <c r="E4" s="91" t="s">
        <v>748</v>
      </c>
      <c r="F4" s="108"/>
      <c r="G4" s="108"/>
    </row>
    <row r="5" spans="1:7">
      <c r="A5" s="17"/>
      <c r="B5" s="17" t="s">
        <v>385</v>
      </c>
      <c r="C5" s="17" t="s">
        <v>386</v>
      </c>
      <c r="D5" s="17" t="s">
        <v>104</v>
      </c>
      <c r="E5" s="17" t="s">
        <v>385</v>
      </c>
      <c r="F5" s="17" t="s">
        <v>386</v>
      </c>
      <c r="G5" s="17" t="s">
        <v>104</v>
      </c>
    </row>
    <row r="6" spans="1:7">
      <c r="A6" s="242"/>
      <c r="B6" s="243" t="s">
        <v>387</v>
      </c>
      <c r="C6" s="243" t="s">
        <v>388</v>
      </c>
      <c r="D6" s="243" t="s">
        <v>389</v>
      </c>
      <c r="E6" s="243" t="s">
        <v>387</v>
      </c>
      <c r="F6" s="243" t="s">
        <v>388</v>
      </c>
      <c r="G6" s="243" t="s">
        <v>389</v>
      </c>
    </row>
    <row r="7" spans="1:7">
      <c r="A7" s="17"/>
      <c r="B7" s="17"/>
      <c r="C7" s="17"/>
      <c r="D7" s="17"/>
      <c r="E7" s="17"/>
      <c r="F7" s="17"/>
      <c r="G7" s="17"/>
    </row>
    <row r="8" spans="1:7">
      <c r="A8" s="93" t="s">
        <v>100</v>
      </c>
      <c r="B8" s="59">
        <v>32992</v>
      </c>
      <c r="C8" s="176">
        <v>1</v>
      </c>
      <c r="D8" s="59">
        <v>61722</v>
      </c>
      <c r="E8" s="59">
        <v>33301</v>
      </c>
      <c r="F8" s="176">
        <v>1</v>
      </c>
      <c r="G8" s="59">
        <v>63010</v>
      </c>
    </row>
    <row r="9" spans="1:7">
      <c r="A9" s="93" t="s">
        <v>421</v>
      </c>
      <c r="B9" s="17"/>
      <c r="C9" s="17"/>
      <c r="D9" s="17"/>
      <c r="E9" s="17"/>
      <c r="F9" s="17"/>
      <c r="G9" s="17"/>
    </row>
    <row r="10" spans="1:7">
      <c r="A10" s="265" t="s">
        <v>422</v>
      </c>
      <c r="B10" s="59">
        <v>4256</v>
      </c>
      <c r="C10" s="176">
        <v>0.129</v>
      </c>
      <c r="D10" s="59">
        <v>4557</v>
      </c>
      <c r="E10" s="59">
        <v>4208</v>
      </c>
      <c r="F10" s="176">
        <v>0.126</v>
      </c>
      <c r="G10" s="59">
        <v>4638</v>
      </c>
    </row>
    <row r="11" spans="1:7">
      <c r="A11" s="266" t="s">
        <v>423</v>
      </c>
      <c r="B11" s="59">
        <v>4258</v>
      </c>
      <c r="C11" s="176">
        <v>0.129</v>
      </c>
      <c r="D11" s="59">
        <v>24151</v>
      </c>
      <c r="E11" s="59">
        <v>4252</v>
      </c>
      <c r="F11" s="176">
        <v>0.128</v>
      </c>
      <c r="G11" s="59">
        <v>24145</v>
      </c>
    </row>
    <row r="12" spans="1:7">
      <c r="A12" s="214" t="s">
        <v>424</v>
      </c>
      <c r="B12" s="59">
        <v>10737</v>
      </c>
      <c r="C12" s="176">
        <v>0.32500000000000001</v>
      </c>
      <c r="D12" s="59">
        <v>45310</v>
      </c>
      <c r="E12" s="59">
        <v>10758</v>
      </c>
      <c r="F12" s="176">
        <v>0.32300000000000001</v>
      </c>
      <c r="G12" s="59">
        <v>45335</v>
      </c>
    </row>
    <row r="13" spans="1:7">
      <c r="A13" s="214" t="s">
        <v>425</v>
      </c>
      <c r="B13" s="59">
        <v>11171</v>
      </c>
      <c r="C13" s="176">
        <v>0.33900000000000002</v>
      </c>
      <c r="D13" s="59">
        <v>81247</v>
      </c>
      <c r="E13" s="59">
        <v>11394</v>
      </c>
      <c r="F13" s="176">
        <v>0.34200000000000003</v>
      </c>
      <c r="G13" s="59">
        <v>81460</v>
      </c>
    </row>
    <row r="14" spans="1:7">
      <c r="A14" s="214" t="s">
        <v>426</v>
      </c>
      <c r="B14" s="59">
        <v>2142</v>
      </c>
      <c r="C14" s="176">
        <v>6.5000000000000002E-2</v>
      </c>
      <c r="D14" s="59">
        <v>156595</v>
      </c>
      <c r="E14" s="59">
        <v>2230</v>
      </c>
      <c r="F14" s="176">
        <v>6.7000000000000004E-2</v>
      </c>
      <c r="G14" s="59">
        <v>155760</v>
      </c>
    </row>
    <row r="15" spans="1:7" ht="13.5" thickBot="1">
      <c r="A15" s="237" t="s">
        <v>427</v>
      </c>
      <c r="B15" s="136">
        <v>428</v>
      </c>
      <c r="C15" s="241">
        <v>1.2999999999999999E-2</v>
      </c>
      <c r="D15" s="136">
        <v>431258</v>
      </c>
      <c r="E15" s="136">
        <v>459</v>
      </c>
      <c r="F15" s="241">
        <v>1.4E-2</v>
      </c>
      <c r="G15" s="136">
        <v>463845</v>
      </c>
    </row>
    <row r="17" spans="1:1">
      <c r="A17" s="1" t="s">
        <v>184</v>
      </c>
    </row>
    <row r="18" spans="1:1">
      <c r="A18" t="s">
        <v>197</v>
      </c>
    </row>
  </sheetData>
  <mergeCells count="1">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0"/>
  <sheetViews>
    <sheetView zoomScaleNormal="100" workbookViewId="0">
      <selection activeCell="C17" sqref="C17"/>
    </sheetView>
  </sheetViews>
  <sheetFormatPr baseColWidth="10" defaultRowHeight="12.75"/>
  <cols>
    <col min="1" max="5" width="17" customWidth="1"/>
    <col min="6" max="7" width="13" customWidth="1"/>
  </cols>
  <sheetData>
    <row r="1" spans="1:7" ht="15">
      <c r="A1" s="360" t="s">
        <v>391</v>
      </c>
      <c r="B1" s="360"/>
      <c r="C1" s="360"/>
      <c r="D1" s="360"/>
      <c r="E1" s="360"/>
    </row>
    <row r="2" spans="1:7">
      <c r="E2" s="2" t="s">
        <v>447</v>
      </c>
    </row>
    <row r="3" spans="1:7" ht="13.5" thickBot="1">
      <c r="A3" s="20"/>
    </row>
    <row r="4" spans="1:7">
      <c r="A4" s="108"/>
      <c r="B4" s="91" t="s">
        <v>730</v>
      </c>
      <c r="C4" s="108"/>
      <c r="D4" s="91" t="s">
        <v>748</v>
      </c>
      <c r="E4" s="108"/>
    </row>
    <row r="5" spans="1:7" ht="25.5">
      <c r="A5" s="244" t="s">
        <v>373</v>
      </c>
      <c r="B5" s="244" t="s">
        <v>445</v>
      </c>
      <c r="C5" s="244" t="s">
        <v>446</v>
      </c>
      <c r="D5" s="244" t="s">
        <v>445</v>
      </c>
      <c r="E5" s="244" t="s">
        <v>446</v>
      </c>
      <c r="F5" s="42"/>
      <c r="G5" s="42"/>
    </row>
    <row r="6" spans="1:7">
      <c r="A6" s="250"/>
      <c r="B6" s="251" t="s">
        <v>388</v>
      </c>
      <c r="C6" s="251" t="s">
        <v>403</v>
      </c>
      <c r="D6" s="251" t="s">
        <v>388</v>
      </c>
      <c r="E6" s="251" t="s">
        <v>403</v>
      </c>
      <c r="F6" s="42"/>
      <c r="G6" s="42"/>
    </row>
    <row r="7" spans="1:7">
      <c r="A7" s="17"/>
      <c r="B7" s="17"/>
      <c r="C7" s="17"/>
      <c r="D7" s="17"/>
      <c r="E7" s="17"/>
    </row>
    <row r="8" spans="1:7">
      <c r="A8" s="17" t="s">
        <v>392</v>
      </c>
      <c r="B8" s="192">
        <v>3.7346518753570931E-3</v>
      </c>
      <c r="C8" s="247">
        <v>7.6050380000000004</v>
      </c>
      <c r="D8" s="192">
        <v>3.9780600000000003E-3</v>
      </c>
      <c r="E8" s="247">
        <v>8.3471930000000008</v>
      </c>
    </row>
    <row r="9" spans="1:7">
      <c r="A9" s="17" t="s">
        <v>393</v>
      </c>
      <c r="B9" s="192">
        <v>3.3795162479949514E-2</v>
      </c>
      <c r="C9" s="247">
        <v>68.818595000000002</v>
      </c>
      <c r="D9" s="192">
        <v>3.426324E-2</v>
      </c>
      <c r="E9" s="247">
        <v>71.894858999999997</v>
      </c>
    </row>
    <row r="10" spans="1:7">
      <c r="A10" s="17" t="s">
        <v>394</v>
      </c>
      <c r="B10" s="192">
        <v>8.1401758281621092E-2</v>
      </c>
      <c r="C10" s="247">
        <v>165.76202699999999</v>
      </c>
      <c r="D10" s="192">
        <v>8.1358420000000001E-2</v>
      </c>
      <c r="E10" s="247">
        <v>170.71506299999999</v>
      </c>
    </row>
    <row r="11" spans="1:7">
      <c r="A11" s="17" t="s">
        <v>395</v>
      </c>
      <c r="B11" s="192">
        <v>0.14413179867411749</v>
      </c>
      <c r="C11" s="247">
        <v>293.502003</v>
      </c>
      <c r="D11" s="192">
        <v>0.14353526</v>
      </c>
      <c r="E11" s="247">
        <v>301.181263</v>
      </c>
    </row>
    <row r="12" spans="1:7">
      <c r="A12" s="17" t="s">
        <v>396</v>
      </c>
      <c r="B12" s="192">
        <v>0.2225973642597984</v>
      </c>
      <c r="C12" s="247">
        <v>453.28492999999997</v>
      </c>
      <c r="D12" s="192">
        <v>0.22120718</v>
      </c>
      <c r="E12" s="247">
        <v>464.16092500000002</v>
      </c>
    </row>
    <row r="13" spans="1:7">
      <c r="A13" s="17" t="s">
        <v>397</v>
      </c>
      <c r="B13" s="192">
        <v>0.3151525719798719</v>
      </c>
      <c r="C13" s="247">
        <v>641.75922300000002</v>
      </c>
      <c r="D13" s="192">
        <v>0.31282210999999999</v>
      </c>
      <c r="E13" s="247">
        <v>656.39732500000002</v>
      </c>
    </row>
    <row r="14" spans="1:7">
      <c r="A14" s="17" t="s">
        <v>398</v>
      </c>
      <c r="B14" s="192">
        <v>0.42263690452321845</v>
      </c>
      <c r="C14" s="247">
        <v>860.63435800000002</v>
      </c>
      <c r="D14" s="192">
        <v>0.41922886999999998</v>
      </c>
      <c r="E14" s="247">
        <v>879.67153800000006</v>
      </c>
    </row>
    <row r="15" spans="1:7">
      <c r="A15" s="17" t="s">
        <v>399</v>
      </c>
      <c r="B15" s="192">
        <v>0.54871906470963461</v>
      </c>
      <c r="C15" s="247">
        <v>1117.3810779999999</v>
      </c>
      <c r="D15" s="192">
        <v>0.54364319000000005</v>
      </c>
      <c r="E15" s="247">
        <v>1140.73118</v>
      </c>
    </row>
    <row r="16" spans="1:7">
      <c r="A16" s="17" t="s">
        <v>400</v>
      </c>
      <c r="B16" s="192">
        <v>0.70353328251495229</v>
      </c>
      <c r="C16" s="247">
        <v>1432.6361669999999</v>
      </c>
      <c r="D16" s="192">
        <v>0.69757678999999995</v>
      </c>
      <c r="E16" s="247">
        <v>1463.73137</v>
      </c>
    </row>
    <row r="17" spans="1:5" ht="13.5" thickBot="1">
      <c r="A17" s="104" t="s">
        <v>401</v>
      </c>
      <c r="B17" s="196">
        <v>1</v>
      </c>
      <c r="C17" s="259">
        <v>2036.344552</v>
      </c>
      <c r="D17" s="196">
        <v>1</v>
      </c>
      <c r="E17" s="259">
        <v>2098.3085999999998</v>
      </c>
    </row>
    <row r="18" spans="1:5">
      <c r="D18" s="82"/>
    </row>
    <row r="19" spans="1:5">
      <c r="A19" s="1" t="s">
        <v>184</v>
      </c>
    </row>
    <row r="20" spans="1:5">
      <c r="A20" t="s">
        <v>197</v>
      </c>
    </row>
  </sheetData>
  <mergeCells count="1">
    <mergeCell ref="A1:E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7"/>
  <sheetViews>
    <sheetView zoomScaleNormal="100" workbookViewId="0">
      <selection activeCell="B17" sqref="B17:G24"/>
    </sheetView>
  </sheetViews>
  <sheetFormatPr baseColWidth="10" defaultRowHeight="12.75"/>
  <cols>
    <col min="1" max="1" width="16.140625" customWidth="1"/>
    <col min="2" max="7" width="11.7109375" customWidth="1"/>
  </cols>
  <sheetData>
    <row r="1" spans="1:7" ht="15">
      <c r="A1" s="360" t="s">
        <v>477</v>
      </c>
      <c r="B1" s="360"/>
      <c r="C1" s="360"/>
      <c r="D1" s="360"/>
      <c r="E1" s="360"/>
      <c r="F1" s="360"/>
      <c r="G1" s="360"/>
    </row>
    <row r="2" spans="1:7">
      <c r="A2" s="5" t="s">
        <v>296</v>
      </c>
      <c r="G2" s="2" t="s">
        <v>448</v>
      </c>
    </row>
    <row r="3" spans="1:7" ht="13.5" thickBot="1">
      <c r="A3" s="20"/>
    </row>
    <row r="4" spans="1:7">
      <c r="A4" s="117" t="s">
        <v>731</v>
      </c>
      <c r="B4" s="117" t="s">
        <v>100</v>
      </c>
      <c r="C4" s="117" t="s">
        <v>407</v>
      </c>
      <c r="D4" s="117" t="s">
        <v>408</v>
      </c>
      <c r="E4" s="117" t="s">
        <v>409</v>
      </c>
      <c r="F4" s="117" t="s">
        <v>417</v>
      </c>
      <c r="G4" s="117" t="s">
        <v>416</v>
      </c>
    </row>
    <row r="5" spans="1:7">
      <c r="A5" s="17"/>
      <c r="B5" s="17"/>
      <c r="C5" s="17"/>
      <c r="D5" s="17"/>
      <c r="E5" s="17"/>
      <c r="F5" s="17"/>
      <c r="G5" s="17"/>
    </row>
    <row r="6" spans="1:7">
      <c r="A6" s="171" t="s">
        <v>104</v>
      </c>
      <c r="B6" s="260">
        <v>61722</v>
      </c>
      <c r="C6" s="261">
        <v>30144</v>
      </c>
      <c r="D6" s="261">
        <v>75558</v>
      </c>
      <c r="E6" s="261">
        <v>80590</v>
      </c>
      <c r="F6" s="261">
        <v>47174</v>
      </c>
      <c r="G6" s="261">
        <v>37710</v>
      </c>
    </row>
    <row r="7" spans="1:7">
      <c r="A7" s="17" t="s">
        <v>414</v>
      </c>
      <c r="B7" s="194">
        <v>0</v>
      </c>
      <c r="C7" s="194">
        <v>0</v>
      </c>
      <c r="D7" s="261">
        <v>10427</v>
      </c>
      <c r="E7" s="261">
        <v>9656</v>
      </c>
      <c r="F7" s="261">
        <v>17830</v>
      </c>
      <c r="G7" s="261">
        <v>16972</v>
      </c>
    </row>
    <row r="8" spans="1:7">
      <c r="A8" s="171" t="s">
        <v>392</v>
      </c>
      <c r="B8" s="260">
        <v>9815</v>
      </c>
      <c r="C8" s="252">
        <v>0</v>
      </c>
      <c r="D8" s="260">
        <v>28035</v>
      </c>
      <c r="E8" s="260">
        <v>23450</v>
      </c>
      <c r="F8" s="260">
        <v>23374</v>
      </c>
      <c r="G8" s="261">
        <v>21853</v>
      </c>
    </row>
    <row r="9" spans="1:7">
      <c r="A9" s="171" t="s">
        <v>411</v>
      </c>
      <c r="B9" s="260">
        <v>29398</v>
      </c>
      <c r="C9" s="260">
        <v>3628</v>
      </c>
      <c r="D9" s="260">
        <v>48000</v>
      </c>
      <c r="E9" s="260">
        <v>44172</v>
      </c>
      <c r="F9" s="260">
        <v>27830</v>
      </c>
      <c r="G9" s="261">
        <v>27794</v>
      </c>
    </row>
    <row r="10" spans="1:7">
      <c r="A10" s="17" t="s">
        <v>364</v>
      </c>
      <c r="B10" s="260">
        <v>52855</v>
      </c>
      <c r="C10" s="260">
        <v>19683</v>
      </c>
      <c r="D10" s="260">
        <v>66661</v>
      </c>
      <c r="E10" s="260">
        <v>65908</v>
      </c>
      <c r="F10" s="260">
        <v>37244</v>
      </c>
      <c r="G10" s="261">
        <v>30869</v>
      </c>
    </row>
    <row r="11" spans="1:7">
      <c r="A11" s="171" t="s">
        <v>412</v>
      </c>
      <c r="B11" s="261">
        <v>77713</v>
      </c>
      <c r="C11" s="261">
        <v>54434</v>
      </c>
      <c r="D11" s="261">
        <v>89693</v>
      </c>
      <c r="E11" s="261">
        <v>94256</v>
      </c>
      <c r="F11" s="261">
        <v>53899</v>
      </c>
      <c r="G11" s="261">
        <v>42658</v>
      </c>
    </row>
    <row r="12" spans="1:7">
      <c r="A12" s="171" t="s">
        <v>400</v>
      </c>
      <c r="B12" s="260">
        <v>109810</v>
      </c>
      <c r="C12" s="260">
        <v>70677</v>
      </c>
      <c r="D12" s="260">
        <v>120753</v>
      </c>
      <c r="E12" s="260">
        <v>139376</v>
      </c>
      <c r="F12" s="260">
        <v>76332</v>
      </c>
      <c r="G12" s="261">
        <v>58558</v>
      </c>
    </row>
    <row r="13" spans="1:7" ht="13.5" thickBot="1">
      <c r="A13" s="104" t="s">
        <v>415</v>
      </c>
      <c r="B13" s="262">
        <v>143419</v>
      </c>
      <c r="C13" s="262">
        <v>81903</v>
      </c>
      <c r="D13" s="262">
        <v>154735</v>
      </c>
      <c r="E13" s="262">
        <v>180793</v>
      </c>
      <c r="F13" s="262">
        <v>100539</v>
      </c>
      <c r="G13" s="267">
        <v>72696</v>
      </c>
    </row>
    <row r="14" spans="1:7" ht="13.5" thickBot="1">
      <c r="A14" s="17"/>
      <c r="B14" s="253"/>
      <c r="C14" s="253"/>
      <c r="D14" s="253"/>
      <c r="E14" s="253"/>
      <c r="F14" s="253"/>
      <c r="G14" s="17"/>
    </row>
    <row r="15" spans="1:7">
      <c r="A15" s="117" t="s">
        <v>749</v>
      </c>
      <c r="B15" s="117" t="s">
        <v>100</v>
      </c>
      <c r="C15" s="117" t="s">
        <v>407</v>
      </c>
      <c r="D15" s="117" t="s">
        <v>408</v>
      </c>
      <c r="E15" s="117" t="s">
        <v>409</v>
      </c>
      <c r="F15" s="117" t="s">
        <v>417</v>
      </c>
      <c r="G15" s="117" t="s">
        <v>416</v>
      </c>
    </row>
    <row r="16" spans="1:7">
      <c r="A16" s="17"/>
      <c r="B16" s="17"/>
      <c r="C16" s="17"/>
      <c r="D16" s="17"/>
      <c r="E16" s="17"/>
      <c r="F16" s="17"/>
      <c r="G16" s="17"/>
    </row>
    <row r="17" spans="1:7">
      <c r="A17" s="171" t="s">
        <v>104</v>
      </c>
      <c r="B17" s="260">
        <v>63010</v>
      </c>
      <c r="C17" s="261">
        <v>30724</v>
      </c>
      <c r="D17" s="261">
        <v>75595</v>
      </c>
      <c r="E17" s="261">
        <v>84091</v>
      </c>
      <c r="F17" s="261">
        <v>47492</v>
      </c>
      <c r="G17" s="261">
        <v>37860</v>
      </c>
    </row>
    <row r="18" spans="1:7">
      <c r="A18" s="17" t="s">
        <v>414</v>
      </c>
      <c r="B18" s="194">
        <v>180</v>
      </c>
      <c r="C18" s="194">
        <v>0</v>
      </c>
      <c r="D18" s="261">
        <v>10082</v>
      </c>
      <c r="E18" s="261">
        <v>8882</v>
      </c>
      <c r="F18" s="261">
        <v>18068</v>
      </c>
      <c r="G18" s="261">
        <v>17480</v>
      </c>
    </row>
    <row r="19" spans="1:7">
      <c r="A19" s="171" t="s">
        <v>392</v>
      </c>
      <c r="B19" s="260">
        <v>10542</v>
      </c>
      <c r="C19" s="252">
        <v>0</v>
      </c>
      <c r="D19" s="260">
        <v>27954</v>
      </c>
      <c r="E19" s="260">
        <v>23441</v>
      </c>
      <c r="F19" s="260">
        <v>23429</v>
      </c>
      <c r="G19" s="261">
        <v>22321</v>
      </c>
    </row>
    <row r="20" spans="1:7">
      <c r="A20" s="171" t="s">
        <v>411</v>
      </c>
      <c r="B20" s="260">
        <v>29677</v>
      </c>
      <c r="C20" s="260">
        <v>3895</v>
      </c>
      <c r="D20" s="260">
        <v>48425</v>
      </c>
      <c r="E20" s="260">
        <v>44602</v>
      </c>
      <c r="F20" s="260">
        <v>27800</v>
      </c>
      <c r="G20" s="261">
        <v>28081</v>
      </c>
    </row>
    <row r="21" spans="1:7">
      <c r="A21" s="17" t="s">
        <v>364</v>
      </c>
      <c r="B21" s="260">
        <v>53553</v>
      </c>
      <c r="C21" s="260">
        <v>20251</v>
      </c>
      <c r="D21" s="260">
        <v>67004</v>
      </c>
      <c r="E21" s="260">
        <v>67285</v>
      </c>
      <c r="F21" s="260">
        <v>37442</v>
      </c>
      <c r="G21" s="261">
        <v>31163</v>
      </c>
    </row>
    <row r="22" spans="1:7">
      <c r="A22" s="171" t="s">
        <v>412</v>
      </c>
      <c r="B22" s="261">
        <v>78085</v>
      </c>
      <c r="C22" s="261">
        <v>55718</v>
      </c>
      <c r="D22" s="261">
        <v>90858</v>
      </c>
      <c r="E22" s="261">
        <v>96075</v>
      </c>
      <c r="F22" s="261">
        <v>53992</v>
      </c>
      <c r="G22" s="261">
        <v>43502</v>
      </c>
    </row>
    <row r="23" spans="1:7">
      <c r="A23" s="171" t="s">
        <v>400</v>
      </c>
      <c r="B23" s="260">
        <v>111486</v>
      </c>
      <c r="C23" s="260">
        <v>71418</v>
      </c>
      <c r="D23" s="260">
        <v>122359</v>
      </c>
      <c r="E23" s="260">
        <v>140567</v>
      </c>
      <c r="F23" s="260">
        <v>77332</v>
      </c>
      <c r="G23" s="261">
        <v>59758</v>
      </c>
    </row>
    <row r="24" spans="1:7" ht="13.5" thickBot="1">
      <c r="A24" s="104" t="s">
        <v>415</v>
      </c>
      <c r="B24" s="262">
        <v>144272</v>
      </c>
      <c r="C24" s="262">
        <v>82798</v>
      </c>
      <c r="D24" s="262">
        <v>155366</v>
      </c>
      <c r="E24" s="262">
        <v>185354</v>
      </c>
      <c r="F24" s="262">
        <v>101015</v>
      </c>
      <c r="G24" s="267">
        <v>74248</v>
      </c>
    </row>
    <row r="26" spans="1:7">
      <c r="A26" s="1" t="s">
        <v>184</v>
      </c>
    </row>
    <row r="27" spans="1:7">
      <c r="A27" t="s">
        <v>197</v>
      </c>
    </row>
  </sheetData>
  <mergeCells count="1">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7"/>
  <sheetViews>
    <sheetView zoomScaleNormal="100" workbookViewId="0">
      <selection activeCell="B16" sqref="B16:G22"/>
    </sheetView>
  </sheetViews>
  <sheetFormatPr baseColWidth="10" defaultRowHeight="12.75"/>
  <cols>
    <col min="1" max="1" width="19.7109375" customWidth="1"/>
    <col min="2" max="7" width="11.140625" customWidth="1"/>
  </cols>
  <sheetData>
    <row r="1" spans="1:7" ht="15">
      <c r="A1" s="360" t="s">
        <v>449</v>
      </c>
      <c r="B1" s="360"/>
      <c r="C1" s="360"/>
      <c r="D1" s="360"/>
      <c r="E1" s="360"/>
      <c r="F1" s="360"/>
      <c r="G1" s="360"/>
    </row>
    <row r="2" spans="1:7">
      <c r="A2" s="5"/>
      <c r="G2" s="2" t="s">
        <v>450</v>
      </c>
    </row>
    <row r="3" spans="1:7" ht="13.5" thickBot="1">
      <c r="A3" s="20"/>
    </row>
    <row r="4" spans="1:7">
      <c r="A4" s="117" t="s">
        <v>731</v>
      </c>
      <c r="B4" s="117" t="s">
        <v>100</v>
      </c>
      <c r="C4" s="117" t="s">
        <v>407</v>
      </c>
      <c r="D4" s="117" t="s">
        <v>408</v>
      </c>
      <c r="E4" s="117" t="s">
        <v>409</v>
      </c>
      <c r="F4" s="117" t="s">
        <v>417</v>
      </c>
      <c r="G4" s="117" t="s">
        <v>416</v>
      </c>
    </row>
    <row r="5" spans="1:7">
      <c r="A5" s="17"/>
      <c r="B5" s="17"/>
      <c r="C5" s="17"/>
      <c r="D5" s="17"/>
      <c r="E5" s="17"/>
      <c r="F5" s="17"/>
      <c r="G5" s="17"/>
    </row>
    <row r="6" spans="1:7">
      <c r="A6" s="171" t="s">
        <v>100</v>
      </c>
      <c r="B6" s="147">
        <v>1</v>
      </c>
      <c r="C6" s="176">
        <v>1</v>
      </c>
      <c r="D6" s="176">
        <v>1</v>
      </c>
      <c r="E6" s="176">
        <v>1</v>
      </c>
      <c r="F6" s="176">
        <v>1</v>
      </c>
      <c r="G6" s="176">
        <v>1</v>
      </c>
    </row>
    <row r="7" spans="1:7">
      <c r="A7" s="265" t="s">
        <v>422</v>
      </c>
      <c r="B7" s="176">
        <v>0.129</v>
      </c>
      <c r="C7" s="176">
        <v>0.44779999999999998</v>
      </c>
      <c r="D7" s="176">
        <v>5.8700000000000002E-2</v>
      </c>
      <c r="E7" s="176">
        <v>6.5199999999999994E-2</v>
      </c>
      <c r="F7" s="176">
        <v>3.56E-2</v>
      </c>
      <c r="G7" s="176">
        <v>3.6200000000000003E-2</v>
      </c>
    </row>
    <row r="8" spans="1:7">
      <c r="A8" s="266" t="s">
        <v>423</v>
      </c>
      <c r="B8" s="147">
        <v>0.12909999999999999</v>
      </c>
      <c r="C8" s="147">
        <v>0.12740000000000001</v>
      </c>
      <c r="D8" s="147">
        <v>4.9299999999999997E-2</v>
      </c>
      <c r="E8" s="147">
        <v>7.51E-2</v>
      </c>
      <c r="F8" s="147">
        <v>0.30230000000000001</v>
      </c>
      <c r="G8" s="176">
        <v>0.34050000000000002</v>
      </c>
    </row>
    <row r="9" spans="1:7">
      <c r="A9" s="214" t="s">
        <v>424</v>
      </c>
      <c r="B9" s="147">
        <v>0.32540000000000002</v>
      </c>
      <c r="C9" s="147">
        <v>0.23300000000000001</v>
      </c>
      <c r="D9" s="147">
        <v>0.30109999999999998</v>
      </c>
      <c r="E9" s="147">
        <v>0.28949999999999998</v>
      </c>
      <c r="F9" s="147">
        <v>0.47439999999999999</v>
      </c>
      <c r="G9" s="176">
        <v>0.53490000000000004</v>
      </c>
    </row>
    <row r="10" spans="1:7">
      <c r="A10" s="214" t="s">
        <v>425</v>
      </c>
      <c r="B10" s="147">
        <v>0.33860000000000001</v>
      </c>
      <c r="C10" s="147">
        <v>0.18770000000000001</v>
      </c>
      <c r="D10" s="147">
        <v>0.4884</v>
      </c>
      <c r="E10" s="147">
        <v>0.4279</v>
      </c>
      <c r="F10" s="147">
        <v>0.158</v>
      </c>
      <c r="G10" s="176">
        <v>7.9100000000000004E-2</v>
      </c>
    </row>
    <row r="11" spans="1:7">
      <c r="A11" s="214" t="s">
        <v>426</v>
      </c>
      <c r="B11" s="176">
        <v>6.4899999999999999E-2</v>
      </c>
      <c r="C11" s="176">
        <v>3.8E-3</v>
      </c>
      <c r="D11" s="176">
        <v>8.9599999999999999E-2</v>
      </c>
      <c r="E11" s="176">
        <v>0.11609999999999999</v>
      </c>
      <c r="F11" s="176">
        <v>2.1399999999999999E-2</v>
      </c>
      <c r="G11" s="176">
        <v>8.0000000000000002E-3</v>
      </c>
    </row>
    <row r="12" spans="1:7" ht="13.5" thickBot="1">
      <c r="A12" s="237" t="s">
        <v>427</v>
      </c>
      <c r="B12" s="152">
        <v>1.2999999999999999E-2</v>
      </c>
      <c r="C12" s="268">
        <v>2.9999999999999997E-4</v>
      </c>
      <c r="D12" s="268">
        <v>1.29E-2</v>
      </c>
      <c r="E12" s="268">
        <v>2.6200000000000001E-2</v>
      </c>
      <c r="F12" s="268">
        <v>8.3999999999999995E-3</v>
      </c>
      <c r="G12" s="269">
        <v>1.2999999999999999E-3</v>
      </c>
    </row>
    <row r="13" spans="1:7" ht="13.5" thickBot="1">
      <c r="A13" s="17"/>
      <c r="B13" s="253"/>
      <c r="C13" s="253"/>
      <c r="D13" s="253"/>
      <c r="E13" s="253"/>
      <c r="F13" s="253"/>
      <c r="G13" s="17"/>
    </row>
    <row r="14" spans="1:7">
      <c r="A14" s="117" t="s">
        <v>749</v>
      </c>
      <c r="B14" s="117" t="s">
        <v>100</v>
      </c>
      <c r="C14" s="117" t="s">
        <v>407</v>
      </c>
      <c r="D14" s="117" t="s">
        <v>408</v>
      </c>
      <c r="E14" s="117" t="s">
        <v>409</v>
      </c>
      <c r="F14" s="117" t="s">
        <v>417</v>
      </c>
      <c r="G14" s="117" t="s">
        <v>416</v>
      </c>
    </row>
    <row r="15" spans="1:7">
      <c r="A15" s="17"/>
      <c r="B15" s="17"/>
      <c r="C15" s="17"/>
      <c r="D15" s="17"/>
      <c r="E15" s="17"/>
      <c r="F15" s="17"/>
      <c r="G15" s="17"/>
    </row>
    <row r="16" spans="1:7">
      <c r="A16" s="171" t="s">
        <v>100</v>
      </c>
      <c r="B16" s="340">
        <v>1</v>
      </c>
      <c r="C16" s="258">
        <v>1</v>
      </c>
      <c r="D16" s="258">
        <v>1</v>
      </c>
      <c r="E16" s="258">
        <v>1</v>
      </c>
      <c r="F16" s="258">
        <v>1</v>
      </c>
      <c r="G16" s="258">
        <v>1</v>
      </c>
    </row>
    <row r="17" spans="1:7">
      <c r="A17" s="265" t="s">
        <v>422</v>
      </c>
      <c r="B17" s="258">
        <v>0.12640000000000001</v>
      </c>
      <c r="C17" s="258">
        <v>0.44140000000000001</v>
      </c>
      <c r="D17" s="258">
        <v>6.1600000000000002E-2</v>
      </c>
      <c r="E17" s="258">
        <v>6.7299999999999999E-2</v>
      </c>
      <c r="F17" s="258">
        <v>3.2899999999999999E-2</v>
      </c>
      <c r="G17" s="258">
        <v>3.5400000000000001E-2</v>
      </c>
    </row>
    <row r="18" spans="1:7">
      <c r="A18" s="266" t="s">
        <v>423</v>
      </c>
      <c r="B18" s="340">
        <v>0.12770000000000001</v>
      </c>
      <c r="C18" s="340">
        <v>0.12559999999999999</v>
      </c>
      <c r="D18" s="340">
        <v>4.7800000000000002E-2</v>
      </c>
      <c r="E18" s="340">
        <v>7.1900000000000006E-2</v>
      </c>
      <c r="F18" s="340">
        <v>0.30099999999999999</v>
      </c>
      <c r="G18" s="258">
        <v>0.32829999999999998</v>
      </c>
    </row>
    <row r="19" spans="1:7">
      <c r="A19" s="214" t="s">
        <v>424</v>
      </c>
      <c r="B19" s="340">
        <v>0.3231</v>
      </c>
      <c r="C19" s="340">
        <v>0.23419999999999999</v>
      </c>
      <c r="D19" s="340">
        <v>0.2954</v>
      </c>
      <c r="E19" s="340">
        <v>0.27800000000000002</v>
      </c>
      <c r="F19" s="340">
        <v>0.4793</v>
      </c>
      <c r="G19" s="258">
        <v>0.53790000000000004</v>
      </c>
    </row>
    <row r="20" spans="1:7">
      <c r="A20" s="214" t="s">
        <v>425</v>
      </c>
      <c r="B20" s="340">
        <v>0.3422</v>
      </c>
      <c r="C20" s="340">
        <v>0.1933</v>
      </c>
      <c r="D20" s="340">
        <v>0.49020000000000002</v>
      </c>
      <c r="E20" s="340">
        <v>0.43630000000000002</v>
      </c>
      <c r="F20" s="340">
        <v>0.1555</v>
      </c>
      <c r="G20" s="258">
        <v>8.9599999999999999E-2</v>
      </c>
    </row>
    <row r="21" spans="1:7">
      <c r="A21" s="214" t="s">
        <v>426</v>
      </c>
      <c r="B21" s="258">
        <v>6.7000000000000004E-2</v>
      </c>
      <c r="C21" s="258">
        <v>5.5999999999999999E-3</v>
      </c>
      <c r="D21" s="258">
        <v>9.1999999999999998E-2</v>
      </c>
      <c r="E21" s="258">
        <v>0.1173</v>
      </c>
      <c r="F21" s="258">
        <v>2.3300000000000001E-2</v>
      </c>
      <c r="G21" s="258">
        <v>7.6E-3</v>
      </c>
    </row>
    <row r="22" spans="1:7" ht="13.5" thickBot="1">
      <c r="A22" s="237" t="s">
        <v>427</v>
      </c>
      <c r="B22" s="343">
        <v>1.38E-2</v>
      </c>
      <c r="C22" s="344">
        <v>0</v>
      </c>
      <c r="D22" s="344">
        <v>1.2999999999999999E-2</v>
      </c>
      <c r="E22" s="344">
        <v>2.92E-2</v>
      </c>
      <c r="F22" s="344">
        <v>8.0000000000000002E-3</v>
      </c>
      <c r="G22" s="345">
        <v>1.2999999999999999E-3</v>
      </c>
    </row>
    <row r="24" spans="1:7">
      <c r="A24" s="1" t="s">
        <v>184</v>
      </c>
    </row>
    <row r="25" spans="1:7">
      <c r="A25" t="s">
        <v>197</v>
      </c>
    </row>
    <row r="27" spans="1:7">
      <c r="B27" s="15"/>
      <c r="C27" s="15"/>
      <c r="D27" s="15"/>
      <c r="E27" s="15"/>
      <c r="F27" s="15"/>
      <c r="G27" s="15"/>
    </row>
  </sheetData>
  <mergeCells count="1">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8"/>
  <sheetViews>
    <sheetView zoomScaleNormal="100" workbookViewId="0">
      <selection activeCell="E8" sqref="E8:F15"/>
    </sheetView>
  </sheetViews>
  <sheetFormatPr baseColWidth="10" defaultRowHeight="12.75"/>
  <cols>
    <col min="1" max="1" width="22" customWidth="1"/>
    <col min="2" max="7" width="10.5703125" customWidth="1"/>
  </cols>
  <sheetData>
    <row r="1" spans="1:7" ht="15">
      <c r="A1" s="389" t="s">
        <v>420</v>
      </c>
      <c r="B1" s="394"/>
      <c r="C1" s="394"/>
      <c r="D1" s="394"/>
      <c r="E1" s="394"/>
      <c r="F1" s="394"/>
      <c r="G1" s="394"/>
    </row>
    <row r="2" spans="1:7">
      <c r="G2" s="2" t="s">
        <v>451</v>
      </c>
    </row>
    <row r="3" spans="1:7" ht="13.5" thickBot="1">
      <c r="A3" s="20"/>
    </row>
    <row r="4" spans="1:7">
      <c r="A4" s="108"/>
      <c r="B4" s="91" t="s">
        <v>730</v>
      </c>
      <c r="C4" s="108"/>
      <c r="D4" s="108"/>
      <c r="E4" s="91" t="s">
        <v>748</v>
      </c>
      <c r="F4" s="108"/>
      <c r="G4" s="108"/>
    </row>
    <row r="5" spans="1:7">
      <c r="A5" s="17"/>
      <c r="B5" s="171" t="s">
        <v>430</v>
      </c>
      <c r="C5" s="17" t="s">
        <v>386</v>
      </c>
      <c r="D5" s="17" t="s">
        <v>104</v>
      </c>
      <c r="E5" s="171" t="s">
        <v>430</v>
      </c>
      <c r="F5" s="17" t="s">
        <v>386</v>
      </c>
      <c r="G5" s="17" t="s">
        <v>104</v>
      </c>
    </row>
    <row r="6" spans="1:7">
      <c r="A6" s="242"/>
      <c r="B6" s="243" t="s">
        <v>387</v>
      </c>
      <c r="C6" s="243" t="s">
        <v>388</v>
      </c>
      <c r="D6" s="243" t="s">
        <v>389</v>
      </c>
      <c r="E6" s="243" t="s">
        <v>387</v>
      </c>
      <c r="F6" s="243" t="s">
        <v>388</v>
      </c>
      <c r="G6" s="243" t="s">
        <v>389</v>
      </c>
    </row>
    <row r="7" spans="1:7">
      <c r="A7" s="17"/>
      <c r="B7" s="17"/>
      <c r="C7" s="17"/>
      <c r="D7" s="17"/>
      <c r="E7" s="17"/>
      <c r="F7" s="17"/>
      <c r="G7" s="17"/>
    </row>
    <row r="8" spans="1:7">
      <c r="A8" s="93" t="s">
        <v>100</v>
      </c>
      <c r="B8" s="59">
        <v>17211</v>
      </c>
      <c r="C8" s="176">
        <v>1</v>
      </c>
      <c r="D8" s="59">
        <v>118316</v>
      </c>
      <c r="E8" s="59">
        <v>17408</v>
      </c>
      <c r="F8" s="176">
        <v>1</v>
      </c>
      <c r="G8" s="59">
        <v>120537</v>
      </c>
    </row>
    <row r="9" spans="1:7">
      <c r="A9" s="93" t="s">
        <v>421</v>
      </c>
      <c r="B9" s="17"/>
      <c r="C9" s="17"/>
      <c r="D9" s="17"/>
      <c r="E9" s="17"/>
      <c r="F9" s="17"/>
      <c r="G9" s="17"/>
    </row>
    <row r="10" spans="1:7">
      <c r="A10" s="265" t="s">
        <v>422</v>
      </c>
      <c r="B10" s="17">
        <v>611</v>
      </c>
      <c r="C10" s="176">
        <v>3.5500551972575678E-2</v>
      </c>
      <c r="D10" s="17">
        <v>4393</v>
      </c>
      <c r="E10" s="17">
        <v>604</v>
      </c>
      <c r="F10" s="176">
        <v>3.469669117647059E-2</v>
      </c>
      <c r="G10" s="17">
        <v>4540</v>
      </c>
    </row>
    <row r="11" spans="1:7">
      <c r="A11" s="266" t="s">
        <v>423</v>
      </c>
      <c r="B11" s="59">
        <v>1091</v>
      </c>
      <c r="C11" s="176">
        <v>6.3389692638428918E-2</v>
      </c>
      <c r="D11" s="59">
        <v>24635</v>
      </c>
      <c r="E11" s="59">
        <v>1086</v>
      </c>
      <c r="F11" s="176">
        <v>6.2385110294117647E-2</v>
      </c>
      <c r="G11" s="59">
        <v>24601</v>
      </c>
    </row>
    <row r="12" spans="1:7">
      <c r="A12" s="214" t="s">
        <v>424</v>
      </c>
      <c r="B12" s="59">
        <v>3038</v>
      </c>
      <c r="C12" s="176">
        <v>0.1765150194642961</v>
      </c>
      <c r="D12" s="59">
        <v>45882</v>
      </c>
      <c r="E12" s="59">
        <v>3049</v>
      </c>
      <c r="F12" s="176">
        <v>0.17514935661764705</v>
      </c>
      <c r="G12" s="59">
        <v>45795</v>
      </c>
    </row>
    <row r="13" spans="1:7">
      <c r="A13" s="214" t="s">
        <v>425</v>
      </c>
      <c r="B13" s="59">
        <v>6177</v>
      </c>
      <c r="C13" s="176">
        <v>0.3588983789436988</v>
      </c>
      <c r="D13" s="59">
        <v>88314</v>
      </c>
      <c r="E13" s="59">
        <v>6191</v>
      </c>
      <c r="F13" s="176">
        <v>0.35564108455882354</v>
      </c>
      <c r="G13" s="59">
        <v>88400</v>
      </c>
    </row>
    <row r="14" spans="1:7">
      <c r="A14" s="214" t="s">
        <v>426</v>
      </c>
      <c r="B14" s="59">
        <v>5026</v>
      </c>
      <c r="C14" s="176">
        <v>0.29202254372203823</v>
      </c>
      <c r="D14" s="59">
        <v>164079</v>
      </c>
      <c r="E14" s="59">
        <v>5159</v>
      </c>
      <c r="F14" s="176">
        <v>0.29635799632352944</v>
      </c>
      <c r="G14" s="59">
        <v>164421</v>
      </c>
    </row>
    <row r="15" spans="1:7" ht="13.5" thickBot="1">
      <c r="A15" s="237" t="s">
        <v>427</v>
      </c>
      <c r="B15" s="136">
        <v>1268</v>
      </c>
      <c r="C15" s="241">
        <v>7.3673813258962287E-2</v>
      </c>
      <c r="D15" s="136">
        <v>392128</v>
      </c>
      <c r="E15" s="136">
        <v>1319</v>
      </c>
      <c r="F15" s="241">
        <v>7.576976102941177E-2</v>
      </c>
      <c r="G15" s="136">
        <v>404613</v>
      </c>
    </row>
    <row r="17" spans="1:6">
      <c r="A17" s="1" t="s">
        <v>184</v>
      </c>
      <c r="C17" s="15"/>
      <c r="F17" s="15"/>
    </row>
    <row r="18" spans="1:6">
      <c r="A18" t="s">
        <v>197</v>
      </c>
    </row>
  </sheetData>
  <mergeCells count="1">
    <mergeCell ref="A1:G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0"/>
  <sheetViews>
    <sheetView zoomScaleNormal="100" workbookViewId="0">
      <selection activeCell="C17" sqref="C17"/>
    </sheetView>
  </sheetViews>
  <sheetFormatPr baseColWidth="10" defaultRowHeight="12.75"/>
  <cols>
    <col min="1" max="5" width="17" customWidth="1"/>
    <col min="6" max="7" width="13" customWidth="1"/>
  </cols>
  <sheetData>
    <row r="1" spans="1:7" ht="15">
      <c r="A1" s="360" t="s">
        <v>452</v>
      </c>
      <c r="B1" s="360"/>
      <c r="C1" s="360"/>
      <c r="D1" s="360"/>
      <c r="E1" s="360"/>
    </row>
    <row r="2" spans="1:7">
      <c r="E2" s="2" t="s">
        <v>453</v>
      </c>
    </row>
    <row r="3" spans="1:7" ht="13.5" thickBot="1">
      <c r="A3" s="20"/>
    </row>
    <row r="4" spans="1:7">
      <c r="A4" s="108"/>
      <c r="B4" s="91" t="s">
        <v>730</v>
      </c>
      <c r="C4" s="108"/>
      <c r="D4" s="91" t="s">
        <v>748</v>
      </c>
      <c r="E4" s="108"/>
    </row>
    <row r="5" spans="1:7" ht="25.5">
      <c r="A5" s="244" t="s">
        <v>433</v>
      </c>
      <c r="B5" s="244" t="s">
        <v>445</v>
      </c>
      <c r="C5" s="244" t="s">
        <v>446</v>
      </c>
      <c r="D5" s="244" t="s">
        <v>445</v>
      </c>
      <c r="E5" s="244" t="s">
        <v>446</v>
      </c>
      <c r="F5" s="42"/>
      <c r="G5" s="42"/>
    </row>
    <row r="6" spans="1:7">
      <c r="A6" s="250"/>
      <c r="B6" s="251" t="s">
        <v>388</v>
      </c>
      <c r="C6" s="251" t="s">
        <v>403</v>
      </c>
      <c r="D6" s="251" t="s">
        <v>388</v>
      </c>
      <c r="E6" s="251" t="s">
        <v>403</v>
      </c>
      <c r="F6" s="42"/>
      <c r="G6" s="42"/>
    </row>
    <row r="7" spans="1:7">
      <c r="A7" s="17"/>
      <c r="B7" s="17"/>
      <c r="C7" s="17"/>
      <c r="D7" s="17"/>
      <c r="E7" s="17"/>
    </row>
    <row r="8" spans="1:7">
      <c r="A8" s="17" t="s">
        <v>392</v>
      </c>
      <c r="B8" s="18">
        <v>1.4796981672479257E-2</v>
      </c>
      <c r="C8" s="97">
        <v>30.131753</v>
      </c>
      <c r="D8" s="18">
        <v>1.475744E-2</v>
      </c>
      <c r="E8" s="97">
        <v>30.965661000000001</v>
      </c>
    </row>
    <row r="9" spans="1:7">
      <c r="A9" s="17" t="s">
        <v>393</v>
      </c>
      <c r="B9" s="18">
        <v>4.7968743281696244E-2</v>
      </c>
      <c r="C9" s="97">
        <v>97.680888999999993</v>
      </c>
      <c r="D9" s="18">
        <v>4.7613809999999999E-2</v>
      </c>
      <c r="E9" s="97">
        <v>99.908457999999996</v>
      </c>
    </row>
    <row r="10" spans="1:7">
      <c r="A10" s="17" t="s">
        <v>394</v>
      </c>
      <c r="B10" s="18">
        <v>9.5796937165767482E-2</v>
      </c>
      <c r="C10" s="97">
        <v>195.075571</v>
      </c>
      <c r="D10" s="18">
        <v>9.4903619999999994E-2</v>
      </c>
      <c r="E10" s="97">
        <v>199.13708299999999</v>
      </c>
    </row>
    <row r="11" spans="1:7">
      <c r="A11" s="17" t="s">
        <v>395</v>
      </c>
      <c r="B11" s="18">
        <v>0.15595242850432534</v>
      </c>
      <c r="C11" s="97">
        <v>317.572878</v>
      </c>
      <c r="D11" s="18">
        <v>0.15455515</v>
      </c>
      <c r="E11" s="97">
        <v>324.30439699999999</v>
      </c>
    </row>
    <row r="12" spans="1:7">
      <c r="A12" s="17" t="s">
        <v>396</v>
      </c>
      <c r="B12" s="18">
        <v>0.22918674237658518</v>
      </c>
      <c r="C12" s="97">
        <v>466.70317399999999</v>
      </c>
      <c r="D12" s="18">
        <v>0.22711028</v>
      </c>
      <c r="E12" s="97">
        <v>476.54745100000002</v>
      </c>
    </row>
    <row r="13" spans="1:7">
      <c r="A13" s="17" t="s">
        <v>397</v>
      </c>
      <c r="B13" s="18">
        <v>0.31704533974024912</v>
      </c>
      <c r="C13" s="97">
        <v>645.61355000000003</v>
      </c>
      <c r="D13" s="18">
        <v>0.31426609</v>
      </c>
      <c r="E13" s="97">
        <v>659.42724099999998</v>
      </c>
    </row>
    <row r="14" spans="1:7">
      <c r="A14" s="17" t="s">
        <v>398</v>
      </c>
      <c r="B14" s="18">
        <v>0.42160107511196909</v>
      </c>
      <c r="C14" s="97">
        <v>858.52505199999996</v>
      </c>
      <c r="D14" s="18">
        <v>0.41794277000000002</v>
      </c>
      <c r="E14" s="97">
        <v>876.97291600000005</v>
      </c>
    </row>
    <row r="15" spans="1:7">
      <c r="A15" s="17" t="s">
        <v>399</v>
      </c>
      <c r="B15" s="18">
        <v>0.54785846552939266</v>
      </c>
      <c r="C15" s="97">
        <v>1115.6286009999999</v>
      </c>
      <c r="D15" s="18">
        <v>0.54261563000000002</v>
      </c>
      <c r="E15" s="97">
        <v>1138.5750399999999</v>
      </c>
    </row>
    <row r="16" spans="1:7">
      <c r="A16" s="17" t="s">
        <v>400</v>
      </c>
      <c r="B16" s="18">
        <v>0.70531447209888209</v>
      </c>
      <c r="C16" s="97">
        <v>1436.2632819999999</v>
      </c>
      <c r="D16" s="18">
        <v>0.69959636000000003</v>
      </c>
      <c r="E16" s="97">
        <v>1467.9690700000001</v>
      </c>
    </row>
    <row r="17" spans="1:5" ht="13.5" thickBot="1">
      <c r="A17" s="104" t="s">
        <v>401</v>
      </c>
      <c r="B17" s="112">
        <v>1</v>
      </c>
      <c r="C17" s="270">
        <v>2036.3445509999999</v>
      </c>
      <c r="D17" s="112">
        <v>1</v>
      </c>
      <c r="E17" s="270">
        <v>2098.3085999999998</v>
      </c>
    </row>
    <row r="19" spans="1:5">
      <c r="A19" s="1" t="s">
        <v>184</v>
      </c>
    </row>
    <row r="20" spans="1:5">
      <c r="A20" t="s">
        <v>197</v>
      </c>
    </row>
  </sheetData>
  <mergeCells count="1">
    <mergeCell ref="A1:E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zoomScaleNormal="100" workbookViewId="0">
      <selection activeCell="F20" sqref="F20"/>
    </sheetView>
  </sheetViews>
  <sheetFormatPr baseColWidth="10" defaultRowHeight="12.75"/>
  <cols>
    <col min="1" max="1" width="37.7109375" customWidth="1"/>
    <col min="2" max="4" width="15.7109375" customWidth="1"/>
  </cols>
  <sheetData>
    <row r="1" spans="1:4" ht="15">
      <c r="A1" s="389" t="s">
        <v>478</v>
      </c>
      <c r="B1" s="394"/>
      <c r="C1" s="394"/>
      <c r="D1" s="394"/>
    </row>
    <row r="2" spans="1:4">
      <c r="A2" s="5" t="s">
        <v>296</v>
      </c>
      <c r="D2" s="2" t="s">
        <v>454</v>
      </c>
    </row>
    <row r="3" spans="1:4" ht="13.5" thickBot="1">
      <c r="A3" s="20"/>
    </row>
    <row r="4" spans="1:4">
      <c r="A4" s="141"/>
      <c r="B4" s="117" t="s">
        <v>730</v>
      </c>
      <c r="C4" s="117" t="s">
        <v>748</v>
      </c>
      <c r="D4" s="140" t="s">
        <v>196</v>
      </c>
    </row>
    <row r="5" spans="1:4">
      <c r="A5" s="17"/>
      <c r="B5" s="17"/>
      <c r="C5" s="17"/>
      <c r="D5" s="17"/>
    </row>
    <row r="6" spans="1:4">
      <c r="A6" s="171" t="s">
        <v>104</v>
      </c>
      <c r="B6" s="125">
        <v>118316</v>
      </c>
      <c r="C6" s="125">
        <v>120537</v>
      </c>
      <c r="D6" s="18">
        <f>C6/B6-1</f>
        <v>1.8771763751310067E-2</v>
      </c>
    </row>
    <row r="7" spans="1:4">
      <c r="A7" s="17" t="s">
        <v>414</v>
      </c>
      <c r="B7" s="59">
        <v>21359</v>
      </c>
      <c r="C7" s="59">
        <v>21667</v>
      </c>
      <c r="D7" s="18">
        <f t="shared" ref="D7:D13" si="0">C7/B7-1</f>
        <v>1.4420150756121464E-2</v>
      </c>
    </row>
    <row r="8" spans="1:4">
      <c r="A8" s="171" t="s">
        <v>392</v>
      </c>
      <c r="B8" s="125">
        <v>30144</v>
      </c>
      <c r="C8" s="125">
        <v>30160</v>
      </c>
      <c r="D8" s="18">
        <f t="shared" si="0"/>
        <v>5.3078556263264076E-4</v>
      </c>
    </row>
    <row r="9" spans="1:4">
      <c r="A9" s="171" t="s">
        <v>411</v>
      </c>
      <c r="B9" s="125">
        <v>56590</v>
      </c>
      <c r="C9" s="125">
        <v>56895</v>
      </c>
      <c r="D9" s="18">
        <f t="shared" si="0"/>
        <v>5.3896448135712927E-3</v>
      </c>
    </row>
    <row r="10" spans="1:4">
      <c r="A10" s="17" t="s">
        <v>364</v>
      </c>
      <c r="B10" s="125">
        <v>94693</v>
      </c>
      <c r="C10" s="125">
        <v>95880</v>
      </c>
      <c r="D10" s="18">
        <f t="shared" si="0"/>
        <v>1.253524547749052E-2</v>
      </c>
    </row>
    <row r="11" spans="1:4">
      <c r="A11" s="171" t="s">
        <v>412</v>
      </c>
      <c r="B11" s="59">
        <v>149051</v>
      </c>
      <c r="C11" s="59">
        <v>149584</v>
      </c>
      <c r="D11" s="18">
        <f t="shared" si="0"/>
        <v>3.5759572226956582E-3</v>
      </c>
    </row>
    <row r="12" spans="1:4">
      <c r="A12" s="171" t="s">
        <v>400</v>
      </c>
      <c r="B12" s="125">
        <v>214708</v>
      </c>
      <c r="C12" s="125">
        <v>219275</v>
      </c>
      <c r="D12" s="18">
        <f t="shared" si="0"/>
        <v>2.1270749110419818E-2</v>
      </c>
    </row>
    <row r="13" spans="1:4" ht="13.5" thickBot="1">
      <c r="A13" s="104" t="s">
        <v>415</v>
      </c>
      <c r="B13" s="163">
        <v>276000</v>
      </c>
      <c r="C13" s="163">
        <v>279890</v>
      </c>
      <c r="D13" s="112">
        <f t="shared" si="0"/>
        <v>1.4094202898550678E-2</v>
      </c>
    </row>
    <row r="14" spans="1:4">
      <c r="B14" s="46"/>
      <c r="C14" s="46"/>
      <c r="D14" s="46"/>
    </row>
    <row r="15" spans="1:4">
      <c r="A15" s="1" t="s">
        <v>184</v>
      </c>
    </row>
    <row r="16" spans="1:4">
      <c r="A16" t="s">
        <v>197</v>
      </c>
    </row>
  </sheetData>
  <mergeCells count="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50"/>
  <sheetViews>
    <sheetView zoomScaleNormal="100" workbookViewId="0">
      <selection sqref="A1:D1"/>
    </sheetView>
  </sheetViews>
  <sheetFormatPr baseColWidth="10" defaultRowHeight="12.75"/>
  <cols>
    <col min="1" max="1" width="33.7109375" style="20" customWidth="1"/>
    <col min="2" max="4" width="15.7109375" style="20" customWidth="1"/>
    <col min="5" max="5" width="11.42578125" style="20"/>
    <col min="6" max="6" width="13.42578125" style="20" bestFit="1" customWidth="1"/>
    <col min="7" max="7" width="14.42578125" style="20" customWidth="1"/>
    <col min="8" max="16384" width="11.42578125" style="20"/>
  </cols>
  <sheetData>
    <row r="1" spans="1:7" ht="15">
      <c r="A1" s="366" t="s">
        <v>485</v>
      </c>
      <c r="B1" s="366"/>
      <c r="C1" s="366"/>
      <c r="D1" s="366"/>
    </row>
    <row r="2" spans="1:7">
      <c r="A2" s="20" t="s">
        <v>296</v>
      </c>
      <c r="D2" s="36" t="s">
        <v>210</v>
      </c>
    </row>
    <row r="3" spans="1:7" ht="13.5" thickBot="1"/>
    <row r="4" spans="1:7">
      <c r="A4" s="156"/>
      <c r="B4" s="157" t="s">
        <v>730</v>
      </c>
      <c r="C4" s="157" t="s">
        <v>748</v>
      </c>
      <c r="D4" s="155" t="s">
        <v>196</v>
      </c>
    </row>
    <row r="5" spans="1:7">
      <c r="A5" s="145"/>
      <c r="B5" s="145"/>
      <c r="C5" s="145"/>
      <c r="D5" s="146"/>
    </row>
    <row r="6" spans="1:7">
      <c r="A6" s="127" t="s">
        <v>211</v>
      </c>
      <c r="B6" s="124">
        <v>9664858652</v>
      </c>
      <c r="C6" s="124">
        <v>9965589468</v>
      </c>
      <c r="D6" s="147">
        <f t="shared" ref="D6:D22" si="0">C6/B6-1</f>
        <v>3.1115904208052658E-2</v>
      </c>
      <c r="F6" s="33"/>
      <c r="G6" s="33"/>
    </row>
    <row r="7" spans="1:7">
      <c r="A7" s="148" t="s">
        <v>343</v>
      </c>
      <c r="B7" s="124">
        <v>7298911295</v>
      </c>
      <c r="C7" s="124">
        <v>7419515842</v>
      </c>
      <c r="D7" s="147">
        <f t="shared" si="0"/>
        <v>1.6523635118379731E-2</v>
      </c>
    </row>
    <row r="8" spans="1:7">
      <c r="A8" s="148" t="s">
        <v>344</v>
      </c>
      <c r="B8" s="124">
        <v>2365947357</v>
      </c>
      <c r="C8" s="124">
        <v>2546073626</v>
      </c>
      <c r="D8" s="147">
        <f t="shared" si="0"/>
        <v>7.6132830456717482E-2</v>
      </c>
      <c r="F8" s="33"/>
      <c r="G8" s="33"/>
    </row>
    <row r="9" spans="1:7">
      <c r="A9" s="127" t="s">
        <v>103</v>
      </c>
      <c r="B9" s="124">
        <v>587724159</v>
      </c>
      <c r="C9" s="124">
        <v>575679024</v>
      </c>
      <c r="D9" s="147">
        <f t="shared" si="0"/>
        <v>-2.0494537812593139E-2</v>
      </c>
    </row>
    <row r="10" spans="1:7">
      <c r="A10" s="127" t="s">
        <v>212</v>
      </c>
      <c r="B10" s="124">
        <v>25366897005</v>
      </c>
      <c r="C10" s="124">
        <v>24553671818</v>
      </c>
      <c r="D10" s="147">
        <f t="shared" si="0"/>
        <v>-3.2058520474132379E-2</v>
      </c>
      <c r="F10" s="33"/>
      <c r="G10" s="33"/>
    </row>
    <row r="11" spans="1:7">
      <c r="A11" s="149" t="s">
        <v>347</v>
      </c>
      <c r="B11" s="124">
        <v>5330942485</v>
      </c>
      <c r="C11" s="124">
        <v>5654374734</v>
      </c>
      <c r="D11" s="147">
        <f t="shared" si="0"/>
        <v>6.0670744415281419E-2</v>
      </c>
      <c r="F11" s="33"/>
    </row>
    <row r="12" spans="1:7">
      <c r="A12" s="149" t="s">
        <v>348</v>
      </c>
      <c r="B12" s="124">
        <v>5223510958</v>
      </c>
      <c r="C12" s="124">
        <v>4882387260</v>
      </c>
      <c r="D12" s="147">
        <f t="shared" si="0"/>
        <v>-6.5305443167024801E-2</v>
      </c>
    </row>
    <row r="13" spans="1:7">
      <c r="A13" s="149" t="s">
        <v>349</v>
      </c>
      <c r="B13" s="124">
        <v>2869922947</v>
      </c>
      <c r="C13" s="124">
        <v>2929640706</v>
      </c>
      <c r="D13" s="147">
        <f t="shared" si="0"/>
        <v>2.0808140184538582E-2</v>
      </c>
    </row>
    <row r="14" spans="1:7">
      <c r="A14" s="149" t="s">
        <v>481</v>
      </c>
      <c r="B14" s="124">
        <v>2298666069</v>
      </c>
      <c r="C14" s="124">
        <v>2163700161</v>
      </c>
      <c r="D14" s="147">
        <f t="shared" si="0"/>
        <v>-5.8714882435583537E-2</v>
      </c>
    </row>
    <row r="15" spans="1:7">
      <c r="A15" s="149" t="s">
        <v>528</v>
      </c>
      <c r="B15" s="124">
        <v>9031748759</v>
      </c>
      <c r="C15" s="124">
        <v>8204231222</v>
      </c>
      <c r="D15" s="147">
        <f t="shared" si="0"/>
        <v>-9.1623179417539835E-2</v>
      </c>
    </row>
    <row r="16" spans="1:7">
      <c r="A16" s="148" t="s">
        <v>556</v>
      </c>
      <c r="B16" s="124">
        <v>254452897</v>
      </c>
      <c r="C16" s="124">
        <v>259921481</v>
      </c>
      <c r="D16" s="147">
        <f t="shared" si="0"/>
        <v>2.1491537587013498E-2</v>
      </c>
    </row>
    <row r="17" spans="1:7">
      <c r="A17" s="148" t="s">
        <v>557</v>
      </c>
      <c r="B17" s="124">
        <v>56322536</v>
      </c>
      <c r="C17" s="124">
        <v>55426927</v>
      </c>
      <c r="D17" s="147">
        <f t="shared" si="0"/>
        <v>-1.5901432421295825E-2</v>
      </c>
    </row>
    <row r="18" spans="1:7">
      <c r="A18" s="148" t="s">
        <v>558</v>
      </c>
      <c r="B18" s="124">
        <v>107560905</v>
      </c>
      <c r="C18" s="124">
        <v>112113672</v>
      </c>
      <c r="D18" s="147">
        <f t="shared" si="0"/>
        <v>4.2327340031212968E-2</v>
      </c>
    </row>
    <row r="19" spans="1:7">
      <c r="A19" s="148" t="s">
        <v>559</v>
      </c>
      <c r="B19" s="124">
        <v>193769449</v>
      </c>
      <c r="C19" s="124">
        <v>291875655</v>
      </c>
      <c r="D19" s="147">
        <f t="shared" si="0"/>
        <v>0.50630378785873509</v>
      </c>
    </row>
    <row r="20" spans="1:7">
      <c r="A20" s="127" t="s">
        <v>213</v>
      </c>
      <c r="B20" s="124">
        <v>35619479816</v>
      </c>
      <c r="C20" s="124">
        <v>35094940310</v>
      </c>
      <c r="D20" s="147">
        <f t="shared" si="0"/>
        <v>-1.47261978195532E-2</v>
      </c>
      <c r="F20" s="33"/>
      <c r="G20" s="33"/>
    </row>
    <row r="21" spans="1:7">
      <c r="A21" s="127" t="s">
        <v>214</v>
      </c>
      <c r="B21" s="124">
        <v>8867259768</v>
      </c>
      <c r="C21" s="124">
        <v>8965804699</v>
      </c>
      <c r="D21" s="147">
        <f t="shared" si="0"/>
        <v>1.1113346578119465E-2</v>
      </c>
    </row>
    <row r="22" spans="1:7" ht="13.5" thickBot="1">
      <c r="A22" s="150" t="s">
        <v>234</v>
      </c>
      <c r="B22" s="151">
        <v>26752220048</v>
      </c>
      <c r="C22" s="151">
        <v>26129135611</v>
      </c>
      <c r="D22" s="152">
        <f t="shared" si="0"/>
        <v>-2.329094317712832E-2</v>
      </c>
      <c r="F22" s="33"/>
      <c r="G22" s="33"/>
    </row>
    <row r="23" spans="1:7">
      <c r="A23" s="27"/>
      <c r="B23" s="27"/>
      <c r="C23" s="27"/>
    </row>
    <row r="24" spans="1:7">
      <c r="A24" s="27"/>
      <c r="B24" s="33"/>
      <c r="C24" s="33"/>
    </row>
    <row r="25" spans="1:7">
      <c r="A25" s="27"/>
      <c r="B25" s="33"/>
      <c r="C25" s="33"/>
    </row>
    <row r="26" spans="1:7">
      <c r="A26" s="27"/>
      <c r="B26" s="27"/>
      <c r="C26" s="27"/>
    </row>
    <row r="27" spans="1:7" ht="15">
      <c r="A27" s="367" t="s">
        <v>486</v>
      </c>
      <c r="B27" s="367"/>
      <c r="C27" s="367"/>
      <c r="D27" s="367"/>
    </row>
    <row r="28" spans="1:7">
      <c r="A28" s="27" t="s">
        <v>296</v>
      </c>
      <c r="B28" s="27"/>
      <c r="C28" s="27"/>
      <c r="D28" s="36" t="s">
        <v>215</v>
      </c>
    </row>
    <row r="29" spans="1:7" ht="13.5" thickBot="1">
      <c r="A29" s="27"/>
      <c r="B29" s="27"/>
      <c r="C29" s="27"/>
    </row>
    <row r="30" spans="1:7">
      <c r="A30" s="153"/>
      <c r="B30" s="154" t="s">
        <v>730</v>
      </c>
      <c r="C30" s="154" t="s">
        <v>748</v>
      </c>
      <c r="D30" s="155" t="s">
        <v>196</v>
      </c>
    </row>
    <row r="31" spans="1:7">
      <c r="A31" s="127"/>
      <c r="B31" s="127"/>
      <c r="C31" s="127"/>
      <c r="D31" s="146"/>
    </row>
    <row r="32" spans="1:7">
      <c r="A32" s="127" t="s">
        <v>216</v>
      </c>
      <c r="B32" s="124">
        <v>1914539195</v>
      </c>
      <c r="C32" s="124">
        <v>2017616070</v>
      </c>
      <c r="D32" s="147">
        <f t="shared" ref="D32:D39" si="1">C32/B32-1</f>
        <v>5.383899962413663E-2</v>
      </c>
    </row>
    <row r="33" spans="1:9">
      <c r="A33" s="127" t="s">
        <v>217</v>
      </c>
      <c r="B33" s="124">
        <v>124532601</v>
      </c>
      <c r="C33" s="124">
        <v>128666184</v>
      </c>
      <c r="D33" s="147">
        <f t="shared" si="1"/>
        <v>3.3192778170593185E-2</v>
      </c>
    </row>
    <row r="34" spans="1:9">
      <c r="A34" s="123" t="s">
        <v>218</v>
      </c>
      <c r="B34" s="124">
        <v>515026936</v>
      </c>
      <c r="C34" s="124">
        <v>514739993</v>
      </c>
      <c r="D34" s="147">
        <f t="shared" si="1"/>
        <v>-5.5714173365095654E-4</v>
      </c>
    </row>
    <row r="35" spans="1:9">
      <c r="A35" s="123" t="s">
        <v>279</v>
      </c>
      <c r="B35" s="124">
        <v>1107603936</v>
      </c>
      <c r="C35" s="124">
        <v>1078642045</v>
      </c>
      <c r="D35" s="147">
        <f t="shared" si="1"/>
        <v>-2.6148237703626176E-2</v>
      </c>
    </row>
    <row r="36" spans="1:9">
      <c r="A36" s="148" t="s">
        <v>346</v>
      </c>
      <c r="B36" s="124">
        <v>1080849221</v>
      </c>
      <c r="C36" s="124">
        <v>1051800093</v>
      </c>
      <c r="D36" s="147">
        <f t="shared" si="1"/>
        <v>-2.6876207555688314E-2</v>
      </c>
    </row>
    <row r="37" spans="1:9">
      <c r="A37" s="127" t="s">
        <v>219</v>
      </c>
      <c r="B37" s="124">
        <v>3522021519</v>
      </c>
      <c r="C37" s="124">
        <v>3607427299</v>
      </c>
      <c r="D37" s="147">
        <f t="shared" si="1"/>
        <v>2.4249079552543185E-2</v>
      </c>
      <c r="E37" s="33"/>
      <c r="F37" s="33"/>
      <c r="G37" s="33"/>
      <c r="I37" s="33"/>
    </row>
    <row r="38" spans="1:9">
      <c r="A38" s="127" t="s">
        <v>106</v>
      </c>
      <c r="B38" s="124">
        <v>793125565</v>
      </c>
      <c r="C38" s="124">
        <v>835441755</v>
      </c>
      <c r="D38" s="147">
        <f t="shared" si="1"/>
        <v>5.3353708249210152E-2</v>
      </c>
    </row>
    <row r="39" spans="1:9" ht="13.5" thickBot="1">
      <c r="A39" s="150" t="s">
        <v>220</v>
      </c>
      <c r="B39" s="151">
        <v>2735016872</v>
      </c>
      <c r="C39" s="151">
        <v>2778817157</v>
      </c>
      <c r="D39" s="152">
        <f t="shared" si="1"/>
        <v>1.6014630640274863E-2</v>
      </c>
      <c r="E39" s="33"/>
      <c r="F39" s="33"/>
      <c r="G39" s="33"/>
    </row>
    <row r="40" spans="1:9">
      <c r="D40" s="47"/>
    </row>
    <row r="41" spans="1:9">
      <c r="A41" s="368" t="s">
        <v>482</v>
      </c>
      <c r="B41" s="368"/>
      <c r="C41" s="368"/>
      <c r="D41" s="368"/>
    </row>
    <row r="42" spans="1:9" ht="12" customHeight="1">
      <c r="A42" s="362" t="s">
        <v>345</v>
      </c>
      <c r="B42" s="362"/>
      <c r="C42" s="362"/>
      <c r="D42" s="362"/>
    </row>
    <row r="43" spans="1:9" ht="12" customHeight="1">
      <c r="A43" s="81"/>
      <c r="B43" s="81"/>
      <c r="C43" s="81"/>
      <c r="D43" s="81"/>
    </row>
    <row r="44" spans="1:9" ht="12" customHeight="1">
      <c r="A44" s="81"/>
      <c r="B44" s="81"/>
      <c r="C44" s="81"/>
      <c r="D44" s="81"/>
    </row>
    <row r="46" spans="1:9">
      <c r="A46" s="38" t="s">
        <v>184</v>
      </c>
    </row>
    <row r="47" spans="1:9">
      <c r="A47" s="20" t="s">
        <v>197</v>
      </c>
    </row>
    <row r="50" spans="1:1">
      <c r="A50" s="35"/>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4">
    <mergeCell ref="A1:D1"/>
    <mergeCell ref="A27:D27"/>
    <mergeCell ref="A42:D42"/>
    <mergeCell ref="A41:D4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49"/>
  <sheetViews>
    <sheetView zoomScaleNormal="100" workbookViewId="0">
      <selection activeCell="K20" sqref="K20"/>
    </sheetView>
  </sheetViews>
  <sheetFormatPr baseColWidth="10" defaultRowHeight="12.75"/>
  <cols>
    <col min="1" max="1" width="37.7109375" customWidth="1"/>
    <col min="2" max="4" width="15.7109375" customWidth="1"/>
  </cols>
  <sheetData>
    <row r="1" spans="1:4" ht="15">
      <c r="A1" s="389" t="s">
        <v>457</v>
      </c>
      <c r="B1" s="394"/>
      <c r="C1" s="394"/>
      <c r="D1" s="394"/>
    </row>
    <row r="2" spans="1:4">
      <c r="A2" s="5" t="s">
        <v>296</v>
      </c>
      <c r="D2" s="2" t="s">
        <v>456</v>
      </c>
    </row>
    <row r="3" spans="1:4" ht="13.5" thickBot="1">
      <c r="A3" s="20"/>
    </row>
    <row r="4" spans="1:4">
      <c r="A4" s="141"/>
      <c r="B4" s="117" t="s">
        <v>730</v>
      </c>
      <c r="C4" s="117" t="s">
        <v>748</v>
      </c>
      <c r="D4" s="140" t="s">
        <v>196</v>
      </c>
    </row>
    <row r="5" spans="1:4">
      <c r="A5" s="17"/>
      <c r="B5" s="17"/>
      <c r="C5" s="17"/>
      <c r="D5" s="17"/>
    </row>
    <row r="6" spans="1:4">
      <c r="A6" s="171" t="s">
        <v>436</v>
      </c>
      <c r="B6" s="17"/>
      <c r="C6" s="17"/>
      <c r="D6" s="17"/>
    </row>
    <row r="7" spans="1:4">
      <c r="A7" s="213" t="s">
        <v>104</v>
      </c>
      <c r="B7" s="125">
        <v>118316</v>
      </c>
      <c r="C7" s="125">
        <v>120537</v>
      </c>
      <c r="D7" s="18">
        <f>C7/B7-1</f>
        <v>1.8771763751310067E-2</v>
      </c>
    </row>
    <row r="8" spans="1:4">
      <c r="A8" s="213" t="s">
        <v>411</v>
      </c>
      <c r="B8" s="125">
        <v>56590</v>
      </c>
      <c r="C8" s="125">
        <v>56895</v>
      </c>
      <c r="D8" s="18">
        <f>C8/B8-1</f>
        <v>5.3896448135712927E-3</v>
      </c>
    </row>
    <row r="9" spans="1:4">
      <c r="A9" s="214" t="s">
        <v>364</v>
      </c>
      <c r="B9" s="125">
        <v>94693</v>
      </c>
      <c r="C9" s="125">
        <v>95880</v>
      </c>
      <c r="D9" s="18">
        <f>C9/B9-1</f>
        <v>1.253524547749052E-2</v>
      </c>
    </row>
    <row r="10" spans="1:4">
      <c r="A10" s="213" t="s">
        <v>412</v>
      </c>
      <c r="B10" s="59">
        <v>149051</v>
      </c>
      <c r="C10" s="59">
        <v>149584</v>
      </c>
      <c r="D10" s="18">
        <f>C10/B10-1</f>
        <v>3.5759572226956582E-3</v>
      </c>
    </row>
    <row r="11" spans="1:4">
      <c r="A11" s="17"/>
      <c r="B11" s="125"/>
      <c r="C11" s="125"/>
      <c r="D11" s="253"/>
    </row>
    <row r="12" spans="1:4">
      <c r="A12" s="171" t="s">
        <v>437</v>
      </c>
      <c r="B12" s="59"/>
      <c r="C12" s="59"/>
      <c r="D12" s="17"/>
    </row>
    <row r="13" spans="1:4">
      <c r="A13" s="213" t="s">
        <v>104</v>
      </c>
      <c r="B13" s="125">
        <v>69042</v>
      </c>
      <c r="C13" s="125">
        <v>70213</v>
      </c>
      <c r="D13" s="18">
        <f>C13/B13-1</f>
        <v>1.6960690594131078E-2</v>
      </c>
    </row>
    <row r="14" spans="1:4">
      <c r="A14" s="213" t="s">
        <v>411</v>
      </c>
      <c r="B14" s="125">
        <v>30700</v>
      </c>
      <c r="C14" s="125">
        <v>30962</v>
      </c>
      <c r="D14" s="18">
        <f>C14/B14-1</f>
        <v>8.534201954397469E-3</v>
      </c>
    </row>
    <row r="15" spans="1:4">
      <c r="A15" s="214" t="s">
        <v>364</v>
      </c>
      <c r="B15" s="125">
        <v>56808</v>
      </c>
      <c r="C15" s="125">
        <v>57545</v>
      </c>
      <c r="D15" s="18">
        <f>C15/B15-1</f>
        <v>1.2973524855654173E-2</v>
      </c>
    </row>
    <row r="16" spans="1:4">
      <c r="A16" s="213" t="s">
        <v>412</v>
      </c>
      <c r="B16" s="59">
        <v>83491</v>
      </c>
      <c r="C16" s="59">
        <v>84171</v>
      </c>
      <c r="D16" s="18">
        <f>C16/B16-1</f>
        <v>8.1445904348971254E-3</v>
      </c>
    </row>
    <row r="17" spans="1:4">
      <c r="A17" s="17"/>
      <c r="B17" s="125"/>
      <c r="C17" s="125"/>
      <c r="D17" s="17"/>
    </row>
    <row r="18" spans="1:4">
      <c r="A18" s="171" t="s">
        <v>438</v>
      </c>
      <c r="B18" s="125"/>
      <c r="C18" s="125"/>
      <c r="D18" s="17"/>
    </row>
    <row r="19" spans="1:4">
      <c r="A19" s="213" t="s">
        <v>104</v>
      </c>
      <c r="B19" s="125">
        <v>122559</v>
      </c>
      <c r="C19" s="125">
        <v>123197</v>
      </c>
      <c r="D19" s="18">
        <f>C19/B19-1</f>
        <v>5.2056560513711325E-3</v>
      </c>
    </row>
    <row r="20" spans="1:4">
      <c r="A20" s="213" t="s">
        <v>411</v>
      </c>
      <c r="B20" s="59">
        <v>67066</v>
      </c>
      <c r="C20" s="59">
        <v>67085</v>
      </c>
      <c r="D20" s="18">
        <f>C20/B20-1</f>
        <v>2.833030149405058E-4</v>
      </c>
    </row>
    <row r="21" spans="1:4">
      <c r="A21" s="214" t="s">
        <v>364</v>
      </c>
      <c r="B21" s="125">
        <v>103592</v>
      </c>
      <c r="C21" s="125">
        <v>104210</v>
      </c>
      <c r="D21" s="18">
        <f>C21/B21-1</f>
        <v>5.9657116379643327E-3</v>
      </c>
    </row>
    <row r="22" spans="1:4">
      <c r="A22" s="213" t="s">
        <v>412</v>
      </c>
      <c r="B22" s="125">
        <v>148862</v>
      </c>
      <c r="C22" s="125">
        <v>149856</v>
      </c>
      <c r="D22" s="18">
        <f>C22/B22-1</f>
        <v>6.6773253080034678E-3</v>
      </c>
    </row>
    <row r="23" spans="1:4">
      <c r="A23" s="17"/>
      <c r="B23" s="125"/>
      <c r="C23" s="125"/>
      <c r="D23" s="17"/>
    </row>
    <row r="24" spans="1:4">
      <c r="A24" s="171" t="s">
        <v>439</v>
      </c>
      <c r="B24" s="59"/>
      <c r="C24" s="59"/>
      <c r="D24" s="17"/>
    </row>
    <row r="25" spans="1:4">
      <c r="A25" s="213" t="s">
        <v>104</v>
      </c>
      <c r="B25" s="125">
        <v>151864</v>
      </c>
      <c r="C25" s="125">
        <v>156882</v>
      </c>
      <c r="D25" s="18">
        <f>C25/B25-1</f>
        <v>3.3042722435863592E-2</v>
      </c>
    </row>
    <row r="26" spans="1:4">
      <c r="A26" s="213" t="s">
        <v>411</v>
      </c>
      <c r="B26" s="125">
        <v>94412</v>
      </c>
      <c r="C26" s="125">
        <v>95146</v>
      </c>
      <c r="D26" s="18">
        <f>C26/B26-1</f>
        <v>7.7744354531203985E-3</v>
      </c>
    </row>
    <row r="27" spans="1:4">
      <c r="A27" s="214" t="s">
        <v>364</v>
      </c>
      <c r="B27" s="125">
        <v>131932</v>
      </c>
      <c r="C27" s="125">
        <v>131072</v>
      </c>
      <c r="D27" s="18">
        <f>C27/B27-1</f>
        <v>-6.5185095352151556E-3</v>
      </c>
    </row>
    <row r="28" spans="1:4">
      <c r="A28" s="213" t="s">
        <v>412</v>
      </c>
      <c r="B28" s="59">
        <v>178234</v>
      </c>
      <c r="C28" s="59">
        <v>182832</v>
      </c>
      <c r="D28" s="18">
        <f>C28/B28-1</f>
        <v>2.5797547044896119E-2</v>
      </c>
    </row>
    <row r="29" spans="1:4">
      <c r="A29" s="17"/>
      <c r="B29" s="125"/>
      <c r="C29" s="125"/>
      <c r="D29" s="17"/>
    </row>
    <row r="30" spans="1:4">
      <c r="A30" s="171" t="s">
        <v>440</v>
      </c>
      <c r="B30" s="125"/>
      <c r="C30" s="125"/>
      <c r="D30" s="17"/>
    </row>
    <row r="31" spans="1:4">
      <c r="A31" s="213" t="s">
        <v>104</v>
      </c>
      <c r="B31" s="125">
        <v>169795</v>
      </c>
      <c r="C31" s="125">
        <v>172663</v>
      </c>
      <c r="D31" s="18">
        <f>C31/B31-1</f>
        <v>1.6890956741953511E-2</v>
      </c>
    </row>
    <row r="32" spans="1:4">
      <c r="A32" s="213" t="s">
        <v>411</v>
      </c>
      <c r="B32" s="59">
        <v>107510</v>
      </c>
      <c r="C32" s="59">
        <v>109049</v>
      </c>
      <c r="D32" s="18">
        <f>C32/B32-1</f>
        <v>1.4314947446749215E-2</v>
      </c>
    </row>
    <row r="33" spans="1:4">
      <c r="A33" s="214" t="s">
        <v>364</v>
      </c>
      <c r="B33" s="125">
        <v>146039</v>
      </c>
      <c r="C33" s="125">
        <v>147948</v>
      </c>
      <c r="D33" s="18">
        <f>C33/B33-1</f>
        <v>1.3071850670026475E-2</v>
      </c>
    </row>
    <row r="34" spans="1:4">
      <c r="A34" s="213" t="s">
        <v>412</v>
      </c>
      <c r="B34" s="125">
        <v>200094</v>
      </c>
      <c r="C34" s="125">
        <v>206274</v>
      </c>
      <c r="D34" s="18">
        <f>C34/B34-1</f>
        <v>3.0885483822603366E-2</v>
      </c>
    </row>
    <row r="35" spans="1:4">
      <c r="A35" s="17"/>
      <c r="B35" s="125"/>
      <c r="C35" s="125"/>
      <c r="D35" s="17"/>
    </row>
    <row r="36" spans="1:4">
      <c r="A36" s="171" t="s">
        <v>441</v>
      </c>
      <c r="B36" s="59"/>
      <c r="C36" s="59"/>
      <c r="D36" s="17"/>
    </row>
    <row r="37" spans="1:4">
      <c r="A37" s="213" t="s">
        <v>104</v>
      </c>
      <c r="B37" s="125">
        <v>194999</v>
      </c>
      <c r="C37" s="125">
        <v>210139</v>
      </c>
      <c r="D37" s="18">
        <f>C37/B37-1</f>
        <v>7.7641423802173426E-2</v>
      </c>
    </row>
    <row r="38" spans="1:4">
      <c r="A38" s="213" t="s">
        <v>411</v>
      </c>
      <c r="B38" s="125">
        <v>113512</v>
      </c>
      <c r="C38" s="125">
        <v>116104</v>
      </c>
      <c r="D38" s="18">
        <f>C38/B38-1</f>
        <v>2.2834590175488056E-2</v>
      </c>
    </row>
    <row r="39" spans="1:4">
      <c r="A39" s="214" t="s">
        <v>364</v>
      </c>
      <c r="B39" s="125">
        <v>157961</v>
      </c>
      <c r="C39" s="125">
        <v>158918</v>
      </c>
      <c r="D39" s="18">
        <f>C39/B39-1</f>
        <v>6.058457467349454E-3</v>
      </c>
    </row>
    <row r="40" spans="1:4">
      <c r="A40" s="213" t="s">
        <v>412</v>
      </c>
      <c r="B40" s="59">
        <v>217196</v>
      </c>
      <c r="C40" s="59">
        <v>221410</v>
      </c>
      <c r="D40" s="18">
        <f>C40/B40-1</f>
        <v>1.9401830604615089E-2</v>
      </c>
    </row>
    <row r="41" spans="1:4">
      <c r="A41" s="17"/>
      <c r="B41" s="125"/>
      <c r="C41" s="125"/>
      <c r="D41" s="17"/>
    </row>
    <row r="42" spans="1:4">
      <c r="A42" s="171" t="s">
        <v>442</v>
      </c>
      <c r="B42" s="125"/>
      <c r="C42" s="125"/>
      <c r="D42" s="17"/>
    </row>
    <row r="43" spans="1:4">
      <c r="A43" s="213" t="s">
        <v>104</v>
      </c>
      <c r="B43" s="125">
        <v>231617</v>
      </c>
      <c r="C43" s="125">
        <v>226433</v>
      </c>
      <c r="D43" s="18">
        <f>C43/B43-1</f>
        <v>-2.2381776812582799E-2</v>
      </c>
    </row>
    <row r="44" spans="1:4">
      <c r="A44" s="213" t="s">
        <v>411</v>
      </c>
      <c r="B44" s="59">
        <v>114638</v>
      </c>
      <c r="C44" s="59">
        <v>112469</v>
      </c>
      <c r="D44" s="18">
        <f>C44/B44-1</f>
        <v>-1.8920427781363935E-2</v>
      </c>
    </row>
    <row r="45" spans="1:4">
      <c r="A45" s="214" t="s">
        <v>364</v>
      </c>
      <c r="B45" s="125">
        <v>170048</v>
      </c>
      <c r="C45" s="125">
        <v>163840</v>
      </c>
      <c r="D45" s="18">
        <f>C45/B45-1</f>
        <v>-3.6507339104252967E-2</v>
      </c>
    </row>
    <row r="46" spans="1:4" ht="13.5" thickBot="1">
      <c r="A46" s="263" t="s">
        <v>412</v>
      </c>
      <c r="B46" s="163">
        <v>244213</v>
      </c>
      <c r="C46" s="163">
        <v>242853</v>
      </c>
      <c r="D46" s="112">
        <f>C46/B46-1</f>
        <v>-5.5689091080327602E-3</v>
      </c>
    </row>
    <row r="48" spans="1:4">
      <c r="A48" s="1" t="s">
        <v>184</v>
      </c>
    </row>
    <row r="49" spans="1:1">
      <c r="A49" t="s">
        <v>197</v>
      </c>
    </row>
  </sheetData>
  <mergeCells count="1">
    <mergeCell ref="A1:D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33"/>
  <sheetViews>
    <sheetView zoomScaleNormal="100" workbookViewId="0">
      <selection activeCell="C17" sqref="C17"/>
    </sheetView>
  </sheetViews>
  <sheetFormatPr baseColWidth="10" defaultRowHeight="12.75"/>
  <cols>
    <col min="1" max="1" width="19.7109375" customWidth="1"/>
    <col min="2" max="8" width="9.7109375" customWidth="1"/>
  </cols>
  <sheetData>
    <row r="1" spans="1:13" ht="15">
      <c r="A1" s="360" t="s">
        <v>576</v>
      </c>
      <c r="B1" s="360"/>
      <c r="C1" s="360"/>
      <c r="D1" s="360"/>
      <c r="E1" s="360"/>
      <c r="F1" s="360"/>
      <c r="G1" s="360"/>
      <c r="H1" s="360"/>
    </row>
    <row r="2" spans="1:13" ht="13.5" thickBot="1">
      <c r="A2" s="5"/>
      <c r="H2" s="2" t="s">
        <v>577</v>
      </c>
    </row>
    <row r="3" spans="1:13">
      <c r="A3" s="142"/>
      <c r="B3" s="91" t="s">
        <v>421</v>
      </c>
      <c r="C3" s="108"/>
      <c r="D3" s="108"/>
      <c r="E3" s="108"/>
      <c r="F3" s="108"/>
      <c r="G3" s="108"/>
      <c r="H3" s="108"/>
    </row>
    <row r="4" spans="1:13">
      <c r="A4" s="254" t="s">
        <v>731</v>
      </c>
      <c r="B4" s="255" t="s">
        <v>100</v>
      </c>
      <c r="C4" s="255" t="s">
        <v>422</v>
      </c>
      <c r="D4" s="256" t="s">
        <v>423</v>
      </c>
      <c r="E4" s="256" t="s">
        <v>424</v>
      </c>
      <c r="F4" s="255" t="s">
        <v>425</v>
      </c>
      <c r="G4" s="256" t="s">
        <v>426</v>
      </c>
      <c r="H4" s="271" t="s">
        <v>427</v>
      </c>
    </row>
    <row r="5" spans="1:13">
      <c r="A5" s="179" t="s">
        <v>375</v>
      </c>
      <c r="B5" s="145"/>
      <c r="C5" s="145"/>
      <c r="D5" s="145"/>
      <c r="E5" s="145"/>
      <c r="F5" s="145"/>
      <c r="G5" s="145"/>
      <c r="H5" s="17"/>
    </row>
    <row r="6" spans="1:13">
      <c r="A6" s="121" t="s">
        <v>100</v>
      </c>
      <c r="B6" s="147">
        <v>1</v>
      </c>
      <c r="C6" s="147">
        <v>0.129</v>
      </c>
      <c r="D6" s="147">
        <v>0.12909999999999999</v>
      </c>
      <c r="E6" s="147">
        <v>0.32540000000000002</v>
      </c>
      <c r="F6" s="147">
        <v>0.33860000000000001</v>
      </c>
      <c r="G6" s="147">
        <v>6.4899999999999999E-2</v>
      </c>
      <c r="H6" s="147">
        <v>1.2999999999999999E-2</v>
      </c>
      <c r="I6" s="20"/>
    </row>
    <row r="7" spans="1:13">
      <c r="A7" s="145" t="s">
        <v>376</v>
      </c>
      <c r="B7" s="147">
        <v>0.51139999999999997</v>
      </c>
      <c r="C7" s="147">
        <v>0.1077</v>
      </c>
      <c r="D7" s="147">
        <v>6.5299999999999997E-2</v>
      </c>
      <c r="E7" s="147">
        <v>0.17419999999999999</v>
      </c>
      <c r="F7" s="147">
        <v>0.15179999999999999</v>
      </c>
      <c r="G7" s="147">
        <v>1.15E-2</v>
      </c>
      <c r="H7" s="147">
        <v>1E-3</v>
      </c>
      <c r="I7" s="20"/>
    </row>
    <row r="8" spans="1:13">
      <c r="A8" s="121" t="s">
        <v>377</v>
      </c>
      <c r="B8" s="147">
        <v>9.6699999999999994E-2</v>
      </c>
      <c r="C8" s="147">
        <v>5.7999999999999996E-3</v>
      </c>
      <c r="D8" s="147">
        <v>1.0500000000000001E-2</v>
      </c>
      <c r="E8" s="147">
        <v>3.4799999999999998E-2</v>
      </c>
      <c r="F8" s="147">
        <v>4.1099999999999998E-2</v>
      </c>
      <c r="G8" s="147">
        <v>4.3E-3</v>
      </c>
      <c r="H8" s="147">
        <v>2.0000000000000001E-4</v>
      </c>
      <c r="I8" s="20"/>
    </row>
    <row r="9" spans="1:13">
      <c r="A9" s="121" t="s">
        <v>378</v>
      </c>
      <c r="B9" s="147">
        <v>0.1036</v>
      </c>
      <c r="C9" s="147">
        <v>3.2000000000000002E-3</v>
      </c>
      <c r="D9" s="147">
        <v>1.3100000000000001E-2</v>
      </c>
      <c r="E9" s="147">
        <v>3.4799999999999998E-2</v>
      </c>
      <c r="F9" s="147">
        <v>4.48E-2</v>
      </c>
      <c r="G9" s="147">
        <v>7.4000000000000003E-3</v>
      </c>
      <c r="H9" s="147">
        <v>2.9999999999999997E-4</v>
      </c>
      <c r="I9" s="20"/>
    </row>
    <row r="10" spans="1:13">
      <c r="A10" s="145" t="s">
        <v>379</v>
      </c>
      <c r="B10" s="147">
        <v>6.54E-2</v>
      </c>
      <c r="C10" s="147">
        <v>2E-3</v>
      </c>
      <c r="D10" s="147">
        <v>9.1999999999999998E-3</v>
      </c>
      <c r="E10" s="147">
        <v>2.1600000000000001E-2</v>
      </c>
      <c r="F10" s="147">
        <v>2.6200000000000001E-2</v>
      </c>
      <c r="G10" s="147">
        <v>5.8999999999999999E-3</v>
      </c>
      <c r="H10" s="147">
        <v>5.0000000000000001E-4</v>
      </c>
      <c r="I10" s="20"/>
    </row>
    <row r="11" spans="1:13">
      <c r="A11" s="121" t="s">
        <v>380</v>
      </c>
      <c r="B11" s="147">
        <v>4.1500000000000002E-2</v>
      </c>
      <c r="C11" s="147">
        <v>1.1999999999999999E-3</v>
      </c>
      <c r="D11" s="147">
        <v>6.1000000000000004E-3</v>
      </c>
      <c r="E11" s="147">
        <v>1.4E-2</v>
      </c>
      <c r="F11" s="147">
        <v>1.44E-2</v>
      </c>
      <c r="G11" s="147">
        <v>5.1000000000000004E-3</v>
      </c>
      <c r="H11" s="147">
        <v>6.9999999999999999E-4</v>
      </c>
      <c r="I11" s="20"/>
    </row>
    <row r="12" spans="1:13">
      <c r="A12" s="121" t="s">
        <v>381</v>
      </c>
      <c r="B12" s="147">
        <v>3.1699999999999999E-2</v>
      </c>
      <c r="C12" s="147">
        <v>1.1999999999999999E-3</v>
      </c>
      <c r="D12" s="147">
        <v>3.8E-3</v>
      </c>
      <c r="E12" s="147">
        <v>1.0200000000000001E-2</v>
      </c>
      <c r="F12" s="147">
        <v>1.23E-2</v>
      </c>
      <c r="G12" s="147">
        <v>3.8E-3</v>
      </c>
      <c r="H12" s="147">
        <v>5.0000000000000001E-4</v>
      </c>
      <c r="I12" s="20"/>
    </row>
    <row r="13" spans="1:13">
      <c r="A13" s="145" t="s">
        <v>382</v>
      </c>
      <c r="B13" s="147">
        <v>7.2700000000000001E-2</v>
      </c>
      <c r="C13" s="147">
        <v>3.3999999999999998E-3</v>
      </c>
      <c r="D13" s="147">
        <v>1.0200000000000001E-2</v>
      </c>
      <c r="E13" s="147">
        <v>0.02</v>
      </c>
      <c r="F13" s="147">
        <v>2.52E-2</v>
      </c>
      <c r="G13" s="147">
        <v>1.15E-2</v>
      </c>
      <c r="H13" s="147">
        <v>2.3E-3</v>
      </c>
      <c r="M13" s="75"/>
    </row>
    <row r="14" spans="1:13" ht="13.5" thickBot="1">
      <c r="A14" s="165" t="s">
        <v>383</v>
      </c>
      <c r="B14" s="152">
        <v>7.6999999999999999E-2</v>
      </c>
      <c r="C14" s="152">
        <v>4.5999999999999999E-3</v>
      </c>
      <c r="D14" s="152">
        <v>1.0800000000000001E-2</v>
      </c>
      <c r="E14" s="152">
        <v>1.5900000000000001E-2</v>
      </c>
      <c r="F14" s="152">
        <v>2.2599999999999999E-2</v>
      </c>
      <c r="G14" s="152">
        <v>1.54E-2</v>
      </c>
      <c r="H14" s="152">
        <v>7.6E-3</v>
      </c>
      <c r="M14" s="75"/>
    </row>
    <row r="15" spans="1:13" ht="13.5" thickBot="1">
      <c r="A15" s="145"/>
      <c r="B15" s="147"/>
      <c r="C15" s="147"/>
      <c r="D15" s="147"/>
      <c r="E15" s="147"/>
      <c r="F15" s="147"/>
      <c r="G15" s="147"/>
      <c r="H15" s="147"/>
      <c r="M15" s="75"/>
    </row>
    <row r="16" spans="1:13">
      <c r="A16" s="142"/>
      <c r="B16" s="91" t="s">
        <v>421</v>
      </c>
      <c r="C16" s="108"/>
      <c r="D16" s="108"/>
      <c r="E16" s="108"/>
      <c r="F16" s="108"/>
      <c r="G16" s="108"/>
      <c r="H16" s="108"/>
      <c r="M16" s="75"/>
    </row>
    <row r="17" spans="1:13">
      <c r="A17" s="254" t="s">
        <v>749</v>
      </c>
      <c r="B17" s="255" t="s">
        <v>100</v>
      </c>
      <c r="C17" s="255" t="s">
        <v>422</v>
      </c>
      <c r="D17" s="256" t="s">
        <v>423</v>
      </c>
      <c r="E17" s="256" t="s">
        <v>424</v>
      </c>
      <c r="F17" s="255" t="s">
        <v>425</v>
      </c>
      <c r="G17" s="256" t="s">
        <v>426</v>
      </c>
      <c r="H17" s="271" t="s">
        <v>427</v>
      </c>
    </row>
    <row r="18" spans="1:13">
      <c r="A18" s="179" t="s">
        <v>375</v>
      </c>
      <c r="B18" s="145"/>
      <c r="C18" s="145"/>
      <c r="D18" s="145"/>
      <c r="E18" s="145"/>
      <c r="F18" s="145"/>
      <c r="G18" s="145"/>
      <c r="H18" s="17"/>
      <c r="M18" s="75"/>
    </row>
    <row r="19" spans="1:13">
      <c r="A19" s="121" t="s">
        <v>100</v>
      </c>
      <c r="B19" s="147">
        <v>1</v>
      </c>
      <c r="C19" s="147">
        <v>0.12640000000000001</v>
      </c>
      <c r="D19" s="147">
        <v>0.12770000000000001</v>
      </c>
      <c r="E19" s="147">
        <v>0.3231</v>
      </c>
      <c r="F19" s="147">
        <v>0.3422</v>
      </c>
      <c r="G19" s="147">
        <v>6.7000000000000004E-2</v>
      </c>
      <c r="H19" s="147">
        <v>1.38E-2</v>
      </c>
      <c r="M19" s="75"/>
    </row>
    <row r="20" spans="1:13">
      <c r="A20" s="145" t="s">
        <v>376</v>
      </c>
      <c r="B20" s="147">
        <v>0.50449999999999995</v>
      </c>
      <c r="C20" s="147">
        <v>0.10349999999999999</v>
      </c>
      <c r="D20" s="147">
        <v>6.4000000000000001E-2</v>
      </c>
      <c r="E20" s="147">
        <v>0.17019999999999999</v>
      </c>
      <c r="F20" s="332">
        <v>0.1527</v>
      </c>
      <c r="G20" s="147">
        <v>1.2699999999999999E-2</v>
      </c>
      <c r="H20" s="147">
        <v>1.5E-3</v>
      </c>
    </row>
    <row r="21" spans="1:13">
      <c r="A21" s="121" t="s">
        <v>377</v>
      </c>
      <c r="B21" s="147">
        <v>9.7299999999999998E-2</v>
      </c>
      <c r="C21" s="147">
        <v>7.4000000000000003E-3</v>
      </c>
      <c r="D21" s="147">
        <v>1.0200000000000001E-2</v>
      </c>
      <c r="E21" s="147">
        <v>3.3799999999999997E-2</v>
      </c>
      <c r="F21" s="147">
        <v>4.1700000000000001E-2</v>
      </c>
      <c r="G21" s="147">
        <v>4.0000000000000001E-3</v>
      </c>
      <c r="H21" s="147">
        <v>2.9999999999999997E-4</v>
      </c>
    </row>
    <row r="22" spans="1:13">
      <c r="A22" s="121" t="s">
        <v>378</v>
      </c>
      <c r="B22" s="147">
        <v>0.10390000000000001</v>
      </c>
      <c r="C22" s="147">
        <v>3.0999999999999999E-3</v>
      </c>
      <c r="D22" s="147">
        <v>1.29E-2</v>
      </c>
      <c r="E22" s="147">
        <v>3.3700000000000001E-2</v>
      </c>
      <c r="F22" s="147">
        <v>4.58E-2</v>
      </c>
      <c r="G22" s="147">
        <v>8.0999999999999996E-3</v>
      </c>
      <c r="H22" s="147">
        <v>4.0000000000000002E-4</v>
      </c>
    </row>
    <row r="23" spans="1:13">
      <c r="A23" s="145" t="s">
        <v>379</v>
      </c>
      <c r="B23" s="147">
        <v>6.5500000000000003E-2</v>
      </c>
      <c r="C23" s="147">
        <v>2.2000000000000001E-3</v>
      </c>
      <c r="D23" s="147">
        <v>8.8999999999999999E-3</v>
      </c>
      <c r="E23" s="147">
        <v>2.2800000000000001E-2</v>
      </c>
      <c r="F23" s="147">
        <v>2.5000000000000001E-2</v>
      </c>
      <c r="G23" s="147">
        <v>6.0000000000000001E-3</v>
      </c>
      <c r="H23" s="147">
        <v>5.0000000000000001E-4</v>
      </c>
    </row>
    <row r="24" spans="1:13">
      <c r="A24" s="121" t="s">
        <v>380</v>
      </c>
      <c r="B24" s="147">
        <v>4.3200000000000002E-2</v>
      </c>
      <c r="C24" s="147">
        <v>1.1000000000000001E-3</v>
      </c>
      <c r="D24" s="147">
        <v>5.8999999999999999E-3</v>
      </c>
      <c r="E24" s="147">
        <v>1.47E-2</v>
      </c>
      <c r="F24" s="147">
        <v>1.6E-2</v>
      </c>
      <c r="G24" s="147">
        <v>4.7000000000000002E-3</v>
      </c>
      <c r="H24" s="147">
        <v>8.0000000000000004E-4</v>
      </c>
    </row>
    <row r="25" spans="1:13">
      <c r="A25" s="121" t="s">
        <v>381</v>
      </c>
      <c r="B25" s="147">
        <v>3.1899999999999998E-2</v>
      </c>
      <c r="C25" s="147">
        <v>1.1999999999999999E-3</v>
      </c>
      <c r="D25" s="147">
        <v>4.4000000000000003E-3</v>
      </c>
      <c r="E25" s="147">
        <v>1.0500000000000001E-2</v>
      </c>
      <c r="F25" s="147">
        <v>1.12E-2</v>
      </c>
      <c r="G25" s="147">
        <v>4.1000000000000003E-3</v>
      </c>
      <c r="H25" s="147">
        <v>5.0000000000000001E-4</v>
      </c>
    </row>
    <row r="26" spans="1:13">
      <c r="A26" s="145" t="s">
        <v>382</v>
      </c>
      <c r="B26" s="147">
        <v>7.4800000000000005E-2</v>
      </c>
      <c r="C26" s="147">
        <v>3.2000000000000002E-3</v>
      </c>
      <c r="D26" s="147">
        <v>1.06E-2</v>
      </c>
      <c r="E26" s="147">
        <v>2.06E-2</v>
      </c>
      <c r="F26" s="147">
        <v>2.6700000000000002E-2</v>
      </c>
      <c r="G26" s="147">
        <v>1.1299999999999999E-2</v>
      </c>
      <c r="H26" s="147">
        <v>2.3999999999999998E-3</v>
      </c>
    </row>
    <row r="27" spans="1:13" ht="13.5" thickBot="1">
      <c r="A27" s="165" t="s">
        <v>383</v>
      </c>
      <c r="B27" s="152">
        <v>7.9000000000000001E-2</v>
      </c>
      <c r="C27" s="152">
        <v>4.7999999999999996E-3</v>
      </c>
      <c r="D27" s="152">
        <v>1.0800000000000001E-2</v>
      </c>
      <c r="E27" s="152">
        <v>1.6799999999999999E-2</v>
      </c>
      <c r="F27" s="152">
        <v>2.3E-2</v>
      </c>
      <c r="G27" s="152">
        <v>1.6199999999999999E-2</v>
      </c>
      <c r="H27" s="152">
        <v>7.4999999999999997E-3</v>
      </c>
    </row>
    <row r="29" spans="1:13">
      <c r="A29" s="329" t="s">
        <v>509</v>
      </c>
    </row>
    <row r="30" spans="1:13" ht="25.5" customHeight="1">
      <c r="A30" s="384" t="s">
        <v>762</v>
      </c>
      <c r="B30" s="384"/>
      <c r="C30" s="384"/>
      <c r="D30" s="384"/>
      <c r="E30" s="384"/>
      <c r="F30" s="384"/>
      <c r="G30" s="384"/>
      <c r="H30" s="384"/>
    </row>
    <row r="31" spans="1:13">
      <c r="B31" s="20"/>
      <c r="C31" s="35"/>
      <c r="D31" s="35"/>
      <c r="E31" s="20"/>
      <c r="F31" s="35"/>
      <c r="G31" s="35"/>
      <c r="H31" s="20"/>
    </row>
    <row r="33" spans="3:8">
      <c r="C33" s="48"/>
      <c r="D33" s="49"/>
      <c r="E33" s="29"/>
      <c r="F33" s="29"/>
      <c r="G33" s="29"/>
      <c r="H33" s="29"/>
    </row>
  </sheetData>
  <mergeCells count="2">
    <mergeCell ref="A1:H1"/>
    <mergeCell ref="A30:H30"/>
  </mergeCells>
  <pageMargins left="0.7" right="0.7" top="0.78740157499999996" bottom="0.78740157499999996"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3"/>
  <sheetViews>
    <sheetView zoomScaleNormal="100" workbookViewId="0">
      <selection activeCell="C17" sqref="C17"/>
    </sheetView>
  </sheetViews>
  <sheetFormatPr baseColWidth="10" defaultRowHeight="12.75"/>
  <cols>
    <col min="1" max="1" width="19.7109375" customWidth="1"/>
    <col min="2" max="8" width="9.7109375" customWidth="1"/>
    <col min="9" max="9" width="7.7109375" customWidth="1"/>
  </cols>
  <sheetData>
    <row r="1" spans="1:9" ht="15">
      <c r="A1" s="360" t="s">
        <v>579</v>
      </c>
      <c r="B1" s="360"/>
      <c r="C1" s="360"/>
      <c r="D1" s="360"/>
      <c r="E1" s="360"/>
      <c r="F1" s="360"/>
      <c r="G1" s="360"/>
      <c r="H1" s="360"/>
      <c r="I1" s="69"/>
    </row>
    <row r="2" spans="1:9" ht="13.5" thickBot="1">
      <c r="A2" s="5"/>
      <c r="H2" s="2" t="s">
        <v>578</v>
      </c>
    </row>
    <row r="3" spans="1:9">
      <c r="A3" s="142"/>
      <c r="B3" s="91" t="s">
        <v>421</v>
      </c>
      <c r="C3" s="108"/>
      <c r="D3" s="108"/>
      <c r="E3" s="108"/>
      <c r="F3" s="108"/>
      <c r="G3" s="108"/>
      <c r="H3" s="108"/>
    </row>
    <row r="4" spans="1:9">
      <c r="A4" s="254" t="s">
        <v>731</v>
      </c>
      <c r="B4" s="255" t="s">
        <v>100</v>
      </c>
      <c r="C4" s="255" t="s">
        <v>422</v>
      </c>
      <c r="D4" s="256" t="s">
        <v>423</v>
      </c>
      <c r="E4" s="256" t="s">
        <v>424</v>
      </c>
      <c r="F4" s="255" t="s">
        <v>425</v>
      </c>
      <c r="G4" s="256" t="s">
        <v>426</v>
      </c>
      <c r="H4" s="271" t="s">
        <v>427</v>
      </c>
      <c r="I4" s="20"/>
    </row>
    <row r="5" spans="1:9">
      <c r="A5" s="179" t="s">
        <v>375</v>
      </c>
      <c r="B5" s="145"/>
      <c r="C5" s="145"/>
      <c r="D5" s="145"/>
      <c r="E5" s="145"/>
      <c r="F5" s="145"/>
      <c r="G5" s="145"/>
      <c r="H5" s="17"/>
    </row>
    <row r="6" spans="1:9">
      <c r="A6" s="121" t="s">
        <v>100</v>
      </c>
      <c r="B6" s="147">
        <v>1</v>
      </c>
      <c r="C6" s="147">
        <v>3.5499999999999997E-2</v>
      </c>
      <c r="D6" s="147">
        <v>6.3399999999999998E-2</v>
      </c>
      <c r="E6" s="147">
        <v>0.17649999999999999</v>
      </c>
      <c r="F6" s="147">
        <v>0.3589</v>
      </c>
      <c r="G6" s="147">
        <v>0.29199999999999998</v>
      </c>
      <c r="H6" s="147">
        <v>7.3700000000000002E-2</v>
      </c>
      <c r="I6" s="47"/>
    </row>
    <row r="7" spans="1:9">
      <c r="A7" s="145" t="s">
        <v>376</v>
      </c>
      <c r="B7" s="147">
        <v>0.3856</v>
      </c>
      <c r="C7" s="147">
        <v>2.4299999999999999E-2</v>
      </c>
      <c r="D7" s="147">
        <v>3.0599999999999999E-2</v>
      </c>
      <c r="E7" s="147">
        <v>7.7799999999999994E-2</v>
      </c>
      <c r="F7" s="147">
        <v>0.15909999999999999</v>
      </c>
      <c r="G7" s="147">
        <v>8.72E-2</v>
      </c>
      <c r="H7" s="147">
        <v>6.7000000000000002E-3</v>
      </c>
      <c r="I7" s="47"/>
    </row>
    <row r="8" spans="1:9">
      <c r="A8" s="121" t="s">
        <v>377</v>
      </c>
      <c r="B8" s="147">
        <v>8.8800000000000004E-2</v>
      </c>
      <c r="C8" s="147">
        <v>1.8E-3</v>
      </c>
      <c r="D8" s="147">
        <v>5.3E-3</v>
      </c>
      <c r="E8" s="147">
        <v>1.44E-2</v>
      </c>
      <c r="F8" s="147">
        <v>3.7400000000000003E-2</v>
      </c>
      <c r="G8" s="147">
        <v>2.75E-2</v>
      </c>
      <c r="H8" s="147">
        <v>2.3999999999999998E-3</v>
      </c>
      <c r="I8" s="47"/>
    </row>
    <row r="9" spans="1:9">
      <c r="A9" s="121" t="s">
        <v>378</v>
      </c>
      <c r="B9" s="147">
        <v>0.1052</v>
      </c>
      <c r="C9" s="147">
        <v>1.1999999999999999E-3</v>
      </c>
      <c r="D9" s="147">
        <v>4.5999999999999999E-3</v>
      </c>
      <c r="E9" s="147">
        <v>1.66E-2</v>
      </c>
      <c r="F9" s="147">
        <v>4.2099999999999999E-2</v>
      </c>
      <c r="G9" s="147">
        <v>3.5999999999999997E-2</v>
      </c>
      <c r="H9" s="147">
        <v>4.7000000000000002E-3</v>
      </c>
      <c r="I9" s="47"/>
    </row>
    <row r="10" spans="1:9">
      <c r="A10" s="145" t="s">
        <v>379</v>
      </c>
      <c r="B10" s="147">
        <v>7.1099999999999997E-2</v>
      </c>
      <c r="C10" s="147">
        <v>8.0000000000000004E-4</v>
      </c>
      <c r="D10" s="147">
        <v>4.7999999999999996E-3</v>
      </c>
      <c r="E10" s="147">
        <v>1.0699999999999999E-2</v>
      </c>
      <c r="F10" s="147">
        <v>2.4299999999999999E-2</v>
      </c>
      <c r="G10" s="147">
        <v>2.6700000000000002E-2</v>
      </c>
      <c r="H10" s="147">
        <v>3.7000000000000002E-3</v>
      </c>
      <c r="I10" s="47"/>
    </row>
    <row r="11" spans="1:9">
      <c r="A11" s="121" t="s">
        <v>380</v>
      </c>
      <c r="B11" s="147">
        <v>5.0999999999999997E-2</v>
      </c>
      <c r="C11" s="147">
        <v>5.9999999999999995E-4</v>
      </c>
      <c r="D11" s="147">
        <v>3.0000000000000001E-3</v>
      </c>
      <c r="E11" s="147">
        <v>9.9000000000000008E-3</v>
      </c>
      <c r="F11" s="147">
        <v>1.6500000000000001E-2</v>
      </c>
      <c r="G11" s="147">
        <v>1.7500000000000002E-2</v>
      </c>
      <c r="H11" s="147">
        <v>3.5000000000000001E-3</v>
      </c>
      <c r="I11" s="47"/>
    </row>
    <row r="12" spans="1:9">
      <c r="A12" s="121" t="s">
        <v>381</v>
      </c>
      <c r="B12" s="147">
        <v>4.1700000000000001E-2</v>
      </c>
      <c r="C12" s="147">
        <v>5.0000000000000001E-4</v>
      </c>
      <c r="D12" s="147">
        <v>1.4E-3</v>
      </c>
      <c r="E12" s="147">
        <v>7.7000000000000002E-3</v>
      </c>
      <c r="F12" s="147">
        <v>1.41E-2</v>
      </c>
      <c r="G12" s="147">
        <v>1.4200000000000001E-2</v>
      </c>
      <c r="H12" s="147">
        <v>3.8E-3</v>
      </c>
      <c r="I12" s="47"/>
    </row>
    <row r="13" spans="1:9">
      <c r="A13" s="145" t="s">
        <v>382</v>
      </c>
      <c r="B13" s="147">
        <v>0.10780000000000001</v>
      </c>
      <c r="C13" s="147">
        <v>2E-3</v>
      </c>
      <c r="D13" s="147">
        <v>5.3E-3</v>
      </c>
      <c r="E13" s="147">
        <v>1.6500000000000001E-2</v>
      </c>
      <c r="F13" s="147">
        <v>3.3599999999999998E-2</v>
      </c>
      <c r="G13" s="147">
        <v>3.7900000000000003E-2</v>
      </c>
      <c r="H13" s="147">
        <v>1.23E-2</v>
      </c>
      <c r="I13" s="47"/>
    </row>
    <row r="14" spans="1:9" ht="13.5" thickBot="1">
      <c r="A14" s="165" t="s">
        <v>383</v>
      </c>
      <c r="B14" s="152">
        <v>0.14879999999999999</v>
      </c>
      <c r="C14" s="152">
        <v>4.4000000000000003E-3</v>
      </c>
      <c r="D14" s="152">
        <v>8.3999999999999995E-3</v>
      </c>
      <c r="E14" s="152">
        <v>2.29E-2</v>
      </c>
      <c r="F14" s="152">
        <v>3.1699999999999999E-2</v>
      </c>
      <c r="G14" s="152">
        <v>4.4999999999999998E-2</v>
      </c>
      <c r="H14" s="152">
        <v>3.6499999999999998E-2</v>
      </c>
      <c r="I14" s="47"/>
    </row>
    <row r="15" spans="1:9" ht="13.5" thickBot="1">
      <c r="A15" s="145"/>
      <c r="B15" s="147"/>
      <c r="C15" s="147"/>
      <c r="D15" s="147"/>
      <c r="E15" s="147"/>
      <c r="F15" s="147"/>
      <c r="G15" s="147"/>
      <c r="H15" s="147"/>
      <c r="I15" s="47"/>
    </row>
    <row r="16" spans="1:9">
      <c r="A16" s="142"/>
      <c r="B16" s="91" t="s">
        <v>421</v>
      </c>
      <c r="C16" s="108"/>
      <c r="D16" s="108"/>
      <c r="E16" s="108"/>
      <c r="F16" s="108"/>
      <c r="G16" s="108"/>
      <c r="H16" s="108"/>
      <c r="I16" s="47"/>
    </row>
    <row r="17" spans="1:9">
      <c r="A17" s="254" t="s">
        <v>749</v>
      </c>
      <c r="B17" s="255" t="s">
        <v>100</v>
      </c>
      <c r="C17" s="255" t="s">
        <v>422</v>
      </c>
      <c r="D17" s="256" t="s">
        <v>423</v>
      </c>
      <c r="E17" s="256" t="s">
        <v>424</v>
      </c>
      <c r="F17" s="255" t="s">
        <v>425</v>
      </c>
      <c r="G17" s="256" t="s">
        <v>426</v>
      </c>
      <c r="H17" s="271" t="s">
        <v>427</v>
      </c>
      <c r="I17" s="47"/>
    </row>
    <row r="18" spans="1:9">
      <c r="A18" s="179" t="s">
        <v>375</v>
      </c>
      <c r="B18" s="145"/>
      <c r="C18" s="145"/>
      <c r="D18" s="145"/>
      <c r="E18" s="145"/>
      <c r="F18" s="145"/>
      <c r="G18" s="145"/>
      <c r="H18" s="17"/>
      <c r="I18" s="47"/>
    </row>
    <row r="19" spans="1:9">
      <c r="A19" s="121" t="s">
        <v>100</v>
      </c>
      <c r="B19" s="147">
        <v>1</v>
      </c>
      <c r="C19" s="147">
        <v>3.4700000000000002E-2</v>
      </c>
      <c r="D19" s="147">
        <v>6.2399999999999997E-2</v>
      </c>
      <c r="E19" s="147">
        <v>0.17510000000000001</v>
      </c>
      <c r="F19" s="147">
        <v>0.35560000000000003</v>
      </c>
      <c r="G19" s="147">
        <v>0.2964</v>
      </c>
      <c r="H19" s="147">
        <v>7.5800000000000006E-2</v>
      </c>
      <c r="I19" s="47"/>
    </row>
    <row r="20" spans="1:9">
      <c r="A20" s="145" t="s">
        <v>376</v>
      </c>
      <c r="B20" s="147">
        <v>0.38109999999999999</v>
      </c>
      <c r="C20" s="147">
        <v>2.35E-2</v>
      </c>
      <c r="D20" s="147">
        <v>3.0599999999999999E-2</v>
      </c>
      <c r="E20" s="147">
        <v>7.5899999999999995E-2</v>
      </c>
      <c r="F20" s="332">
        <v>0.15429999999999999</v>
      </c>
      <c r="G20" s="147">
        <v>8.8499999999999995E-2</v>
      </c>
      <c r="H20" s="147">
        <v>8.3000000000000001E-3</v>
      </c>
      <c r="I20" s="47"/>
    </row>
    <row r="21" spans="1:9">
      <c r="A21" s="121" t="s">
        <v>377</v>
      </c>
      <c r="B21" s="147">
        <v>8.5900000000000004E-2</v>
      </c>
      <c r="C21" s="147">
        <v>1.4E-3</v>
      </c>
      <c r="D21" s="147">
        <v>4.0000000000000001E-3</v>
      </c>
      <c r="E21" s="147">
        <v>1.5299999999999999E-2</v>
      </c>
      <c r="F21" s="147">
        <v>3.5200000000000002E-2</v>
      </c>
      <c r="G21" s="147">
        <v>2.7300000000000001E-2</v>
      </c>
      <c r="H21" s="147">
        <v>2.7000000000000001E-3</v>
      </c>
      <c r="I21" s="47"/>
    </row>
    <row r="22" spans="1:9">
      <c r="A22" s="121" t="s">
        <v>378</v>
      </c>
      <c r="B22" s="147">
        <v>0.1062</v>
      </c>
      <c r="C22" s="147">
        <v>1.4E-3</v>
      </c>
      <c r="D22" s="147">
        <v>5.4999999999999997E-3</v>
      </c>
      <c r="E22" s="147">
        <v>1.49E-2</v>
      </c>
      <c r="F22" s="147">
        <v>4.2599999999999999E-2</v>
      </c>
      <c r="G22" s="147">
        <v>3.7600000000000001E-2</v>
      </c>
      <c r="H22" s="147">
        <v>4.3E-3</v>
      </c>
      <c r="I22" s="47"/>
    </row>
    <row r="23" spans="1:9">
      <c r="A23" s="145" t="s">
        <v>379</v>
      </c>
      <c r="B23" s="147">
        <v>6.9699999999999998E-2</v>
      </c>
      <c r="C23" s="147">
        <v>1.1000000000000001E-3</v>
      </c>
      <c r="D23" s="147">
        <v>4.4000000000000003E-3</v>
      </c>
      <c r="E23" s="147">
        <v>1.1900000000000001E-2</v>
      </c>
      <c r="F23" s="147">
        <v>2.3599999999999999E-2</v>
      </c>
      <c r="G23" s="147">
        <v>2.4199999999999999E-2</v>
      </c>
      <c r="H23" s="147">
        <v>4.4000000000000003E-3</v>
      </c>
      <c r="I23" s="47"/>
    </row>
    <row r="24" spans="1:9">
      <c r="A24" s="121" t="s">
        <v>380</v>
      </c>
      <c r="B24" s="147">
        <v>5.3199999999999997E-2</v>
      </c>
      <c r="C24" s="147">
        <v>6.9999999999999999E-4</v>
      </c>
      <c r="D24" s="147">
        <v>2.3E-3</v>
      </c>
      <c r="E24" s="147">
        <v>9.9000000000000008E-3</v>
      </c>
      <c r="F24" s="147">
        <v>1.67E-2</v>
      </c>
      <c r="G24" s="147">
        <v>0.02</v>
      </c>
      <c r="H24" s="147">
        <v>3.5999999999999999E-3</v>
      </c>
      <c r="I24" s="47"/>
    </row>
    <row r="25" spans="1:9">
      <c r="A25" s="121" t="s">
        <v>381</v>
      </c>
      <c r="B25" s="147">
        <v>4.19E-2</v>
      </c>
      <c r="C25" s="147">
        <v>5.0000000000000001E-4</v>
      </c>
      <c r="D25" s="147">
        <v>2.0999999999999999E-3</v>
      </c>
      <c r="E25" s="147">
        <v>8.3000000000000001E-3</v>
      </c>
      <c r="F25" s="147">
        <v>1.34E-2</v>
      </c>
      <c r="G25" s="147">
        <v>1.3899999999999999E-2</v>
      </c>
      <c r="H25" s="147">
        <v>3.5999999999999999E-3</v>
      </c>
      <c r="I25" s="47"/>
    </row>
    <row r="26" spans="1:9">
      <c r="A26" s="145" t="s">
        <v>382</v>
      </c>
      <c r="B26" s="147">
        <v>0.11</v>
      </c>
      <c r="C26" s="147">
        <v>1.8E-3</v>
      </c>
      <c r="D26" s="147">
        <v>5.3E-3</v>
      </c>
      <c r="E26" s="147">
        <v>1.5900000000000001E-2</v>
      </c>
      <c r="F26" s="147">
        <v>3.6200000000000003E-2</v>
      </c>
      <c r="G26" s="147">
        <v>3.7699999999999997E-2</v>
      </c>
      <c r="H26" s="147">
        <v>1.2999999999999999E-2</v>
      </c>
      <c r="I26" s="47"/>
    </row>
    <row r="27" spans="1:9" ht="13.5" thickBot="1">
      <c r="A27" s="165" t="s">
        <v>383</v>
      </c>
      <c r="B27" s="152">
        <v>0.15190000000000001</v>
      </c>
      <c r="C27" s="152">
        <v>4.3E-3</v>
      </c>
      <c r="D27" s="152">
        <v>8.0999999999999996E-3</v>
      </c>
      <c r="E27" s="152">
        <v>2.3E-2</v>
      </c>
      <c r="F27" s="152">
        <v>3.3599999999999998E-2</v>
      </c>
      <c r="G27" s="152">
        <v>4.7E-2</v>
      </c>
      <c r="H27" s="152">
        <v>3.5900000000000001E-2</v>
      </c>
    </row>
    <row r="28" spans="1:9">
      <c r="A28" s="20"/>
      <c r="B28" s="47"/>
      <c r="C28" s="47"/>
      <c r="D28" s="47"/>
      <c r="E28" s="47"/>
      <c r="F28" s="47"/>
      <c r="G28" s="47"/>
      <c r="H28" s="47"/>
    </row>
    <row r="29" spans="1:9">
      <c r="A29" s="329" t="s">
        <v>509</v>
      </c>
    </row>
    <row r="30" spans="1:9" ht="25.5" customHeight="1">
      <c r="A30" s="384" t="s">
        <v>763</v>
      </c>
      <c r="B30" s="384"/>
      <c r="C30" s="384"/>
      <c r="D30" s="384"/>
      <c r="E30" s="384"/>
      <c r="F30" s="384"/>
      <c r="G30" s="384"/>
      <c r="H30" s="384"/>
      <c r="I30" s="42"/>
    </row>
    <row r="31" spans="1:9">
      <c r="B31" s="20"/>
      <c r="C31" s="35"/>
      <c r="D31" s="35"/>
      <c r="E31" s="20"/>
      <c r="F31" s="35"/>
      <c r="G31" s="35"/>
      <c r="H31" s="20"/>
      <c r="I31" s="20"/>
    </row>
    <row r="33" spans="3:8">
      <c r="C33" s="48"/>
      <c r="D33" s="49"/>
      <c r="E33" s="29"/>
      <c r="F33" s="29"/>
      <c r="G33" s="29"/>
      <c r="H33" s="29"/>
    </row>
  </sheetData>
  <mergeCells count="2">
    <mergeCell ref="A1:H1"/>
    <mergeCell ref="A30:H30"/>
  </mergeCells>
  <pageMargins left="0.7" right="0.7" top="0.78740157499999996" bottom="0.78740157499999996"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B22" sqref="B22:B24"/>
    </sheetView>
  </sheetViews>
  <sheetFormatPr baseColWidth="10" defaultRowHeight="12.75"/>
  <cols>
    <col min="1" max="1" width="19.7109375" customWidth="1"/>
    <col min="2" max="7" width="11" customWidth="1"/>
  </cols>
  <sheetData>
    <row r="1" spans="1:8" ht="30" customHeight="1">
      <c r="A1" s="396" t="s">
        <v>740</v>
      </c>
      <c r="B1" s="396"/>
      <c r="C1" s="396"/>
      <c r="D1" s="396"/>
      <c r="E1" s="396"/>
      <c r="F1" s="396"/>
      <c r="G1" s="396"/>
      <c r="H1" s="45"/>
    </row>
    <row r="2" spans="1:8">
      <c r="A2" s="1"/>
      <c r="G2" s="74" t="s">
        <v>582</v>
      </c>
    </row>
    <row r="3" spans="1:8" ht="13.5" thickBot="1">
      <c r="A3" s="5"/>
      <c r="G3" s="2"/>
    </row>
    <row r="4" spans="1:8">
      <c r="A4" s="264" t="s">
        <v>731</v>
      </c>
      <c r="B4" s="264" t="s">
        <v>100</v>
      </c>
      <c r="C4" s="264" t="s">
        <v>407</v>
      </c>
      <c r="D4" s="264" t="s">
        <v>408</v>
      </c>
      <c r="E4" s="264" t="s">
        <v>409</v>
      </c>
      <c r="F4" s="264" t="s">
        <v>417</v>
      </c>
      <c r="G4" s="264" t="s">
        <v>416</v>
      </c>
    </row>
    <row r="5" spans="1:8">
      <c r="A5" s="145"/>
      <c r="B5" s="145"/>
      <c r="C5" s="145"/>
      <c r="D5" s="145"/>
      <c r="E5" s="145"/>
      <c r="F5" s="145"/>
      <c r="G5" s="145"/>
    </row>
    <row r="6" spans="1:8">
      <c r="A6" s="121" t="s">
        <v>100</v>
      </c>
      <c r="B6" s="147">
        <v>1</v>
      </c>
      <c r="C6" s="147">
        <v>1</v>
      </c>
      <c r="D6" s="147">
        <v>1</v>
      </c>
      <c r="E6" s="147">
        <v>1</v>
      </c>
      <c r="F6" s="147">
        <v>1</v>
      </c>
      <c r="G6" s="147">
        <v>1</v>
      </c>
    </row>
    <row r="7" spans="1:8">
      <c r="A7" s="121" t="s">
        <v>99</v>
      </c>
      <c r="B7" s="147">
        <v>0.23519999999999999</v>
      </c>
      <c r="C7" s="147">
        <v>0.52929999999999999</v>
      </c>
      <c r="D7" s="147">
        <v>0.1119</v>
      </c>
      <c r="E7" s="147">
        <v>0.1138</v>
      </c>
      <c r="F7" s="147">
        <v>0.29099999999999998</v>
      </c>
      <c r="G7" s="147">
        <v>0.43830000000000002</v>
      </c>
    </row>
    <row r="8" spans="1:8">
      <c r="A8" s="121" t="s">
        <v>560</v>
      </c>
      <c r="B8" s="147">
        <v>0.1802</v>
      </c>
      <c r="C8" s="147">
        <v>0.14899999999999999</v>
      </c>
      <c r="D8" s="147">
        <v>0.1681</v>
      </c>
      <c r="E8" s="147">
        <v>0.14030000000000001</v>
      </c>
      <c r="F8" s="147">
        <v>0.27450000000000002</v>
      </c>
      <c r="G8" s="147">
        <v>0.24529999999999999</v>
      </c>
    </row>
    <row r="9" spans="1:8">
      <c r="A9" s="121" t="s">
        <v>561</v>
      </c>
      <c r="B9" s="147">
        <v>0.38369999999999999</v>
      </c>
      <c r="C9" s="147">
        <v>0.29039999999999999</v>
      </c>
      <c r="D9" s="147">
        <v>0.47539999999999999</v>
      </c>
      <c r="E9" s="147">
        <v>0.43919999999999998</v>
      </c>
      <c r="F9" s="147">
        <v>0.2777</v>
      </c>
      <c r="G9" s="147">
        <v>0.18360000000000001</v>
      </c>
    </row>
    <row r="10" spans="1:8">
      <c r="A10" s="121" t="s">
        <v>562</v>
      </c>
      <c r="B10" s="147">
        <v>0.1081</v>
      </c>
      <c r="C10" s="147">
        <v>2.75E-2</v>
      </c>
      <c r="D10" s="147">
        <v>0.14990000000000001</v>
      </c>
      <c r="E10" s="147">
        <v>0.1545</v>
      </c>
      <c r="F10" s="147">
        <v>6.4000000000000001E-2</v>
      </c>
      <c r="G10" s="147">
        <v>4.1599999999999998E-2</v>
      </c>
    </row>
    <row r="11" spans="1:8">
      <c r="A11" s="121" t="s">
        <v>548</v>
      </c>
      <c r="B11" s="147">
        <v>7.7399999999999997E-2</v>
      </c>
      <c r="C11" s="147">
        <v>3.0000000000000001E-3</v>
      </c>
      <c r="D11" s="147">
        <v>8.6599999999999996E-2</v>
      </c>
      <c r="E11" s="147">
        <v>0.12570000000000001</v>
      </c>
      <c r="F11" s="147">
        <v>6.83E-2</v>
      </c>
      <c r="G11" s="147">
        <v>6.8400000000000002E-2</v>
      </c>
    </row>
    <row r="12" spans="1:8">
      <c r="A12" s="121" t="s">
        <v>377</v>
      </c>
      <c r="B12" s="147">
        <v>0.01</v>
      </c>
      <c r="C12" s="147">
        <v>8.0000000000000004E-4</v>
      </c>
      <c r="D12" s="147">
        <v>5.7999999999999996E-3</v>
      </c>
      <c r="E12" s="147">
        <v>1.6899999999999998E-2</v>
      </c>
      <c r="F12" s="147">
        <v>1.6E-2</v>
      </c>
      <c r="G12" s="147">
        <v>9.4000000000000004E-3</v>
      </c>
    </row>
    <row r="13" spans="1:8" ht="13.5" thickBot="1">
      <c r="A13" s="162" t="s">
        <v>563</v>
      </c>
      <c r="B13" s="152">
        <v>5.4000000000000003E-3</v>
      </c>
      <c r="C13" s="272">
        <v>0</v>
      </c>
      <c r="D13" s="152">
        <v>2.3E-3</v>
      </c>
      <c r="E13" s="152">
        <v>9.5999999999999992E-3</v>
      </c>
      <c r="F13" s="152">
        <v>8.5000000000000006E-3</v>
      </c>
      <c r="G13" s="152">
        <v>1.34E-2</v>
      </c>
    </row>
    <row r="14" spans="1:8" ht="13.5" thickBot="1">
      <c r="A14" s="273"/>
      <c r="B14" s="274"/>
      <c r="C14" s="275"/>
      <c r="D14" s="274"/>
      <c r="E14" s="274"/>
      <c r="F14" s="274"/>
      <c r="G14" s="274"/>
    </row>
    <row r="15" spans="1:8">
      <c r="A15" s="254" t="s">
        <v>749</v>
      </c>
      <c r="B15" s="254" t="s">
        <v>100</v>
      </c>
      <c r="C15" s="254" t="s">
        <v>407</v>
      </c>
      <c r="D15" s="254" t="s">
        <v>408</v>
      </c>
      <c r="E15" s="254" t="s">
        <v>409</v>
      </c>
      <c r="F15" s="254" t="s">
        <v>417</v>
      </c>
      <c r="G15" s="254" t="s">
        <v>416</v>
      </c>
    </row>
    <row r="16" spans="1:8">
      <c r="A16" s="145"/>
      <c r="B16" s="145"/>
      <c r="C16" s="145"/>
      <c r="D16" s="145"/>
      <c r="E16" s="145"/>
      <c r="F16" s="145"/>
      <c r="G16" s="145"/>
    </row>
    <row r="17" spans="1:7">
      <c r="A17" s="121" t="s">
        <v>100</v>
      </c>
      <c r="B17" s="147">
        <v>1</v>
      </c>
      <c r="C17" s="147">
        <v>1</v>
      </c>
      <c r="D17" s="147">
        <v>1</v>
      </c>
      <c r="E17" s="147">
        <v>1</v>
      </c>
      <c r="F17" s="147">
        <v>1</v>
      </c>
      <c r="G17" s="147">
        <v>1</v>
      </c>
    </row>
    <row r="18" spans="1:7">
      <c r="A18" s="121" t="s">
        <v>99</v>
      </c>
      <c r="B18" s="147">
        <v>0.23519999999999999</v>
      </c>
      <c r="C18" s="147">
        <v>0.52939999999999998</v>
      </c>
      <c r="D18" s="147">
        <v>0.1229</v>
      </c>
      <c r="E18" s="147">
        <v>0.1132</v>
      </c>
      <c r="F18" s="147">
        <v>0.2833</v>
      </c>
      <c r="G18" s="147">
        <v>0.42799999999999999</v>
      </c>
    </row>
    <row r="19" spans="1:7">
      <c r="A19" s="121" t="s">
        <v>560</v>
      </c>
      <c r="B19" s="147">
        <v>0.18429999999999999</v>
      </c>
      <c r="C19" s="147">
        <v>0.1469</v>
      </c>
      <c r="D19" s="147">
        <v>0.17910000000000001</v>
      </c>
      <c r="E19" s="147">
        <v>0.1384</v>
      </c>
      <c r="F19" s="147">
        <v>0.27960000000000002</v>
      </c>
      <c r="G19" s="147">
        <v>0.2462</v>
      </c>
    </row>
    <row r="20" spans="1:7">
      <c r="A20" s="121" t="s">
        <v>561</v>
      </c>
      <c r="B20" s="147">
        <v>0.37759999999999999</v>
      </c>
      <c r="C20" s="147">
        <v>0.29039999999999999</v>
      </c>
      <c r="D20" s="332">
        <v>0.45669999999999999</v>
      </c>
      <c r="E20" s="147">
        <v>0.43680000000000002</v>
      </c>
      <c r="F20" s="147">
        <v>0.2762</v>
      </c>
      <c r="G20" s="147">
        <v>0.21340000000000001</v>
      </c>
    </row>
    <row r="21" spans="1:7">
      <c r="A21" s="121" t="s">
        <v>562</v>
      </c>
      <c r="B21" s="147">
        <v>0.10879999999999999</v>
      </c>
      <c r="C21" s="147">
        <v>2.93E-2</v>
      </c>
      <c r="D21" s="147">
        <v>0.14899999999999999</v>
      </c>
      <c r="E21" s="147">
        <v>0.15579999999999999</v>
      </c>
      <c r="F21" s="147">
        <v>6.4600000000000005E-2</v>
      </c>
      <c r="G21" s="147">
        <v>3.6600000000000001E-2</v>
      </c>
    </row>
    <row r="22" spans="1:7">
      <c r="A22" s="121" t="s">
        <v>548</v>
      </c>
      <c r="B22" s="147">
        <v>7.9399999999999998E-2</v>
      </c>
      <c r="C22" s="147">
        <v>3.5999999999999999E-3</v>
      </c>
      <c r="D22" s="147">
        <v>8.4599999999999995E-2</v>
      </c>
      <c r="E22" s="147">
        <v>0.13039999999999999</v>
      </c>
      <c r="F22" s="147">
        <v>7.3599999999999999E-2</v>
      </c>
      <c r="G22" s="147">
        <v>5.4300000000000001E-2</v>
      </c>
    </row>
    <row r="23" spans="1:7">
      <c r="A23" s="121" t="s">
        <v>377</v>
      </c>
      <c r="B23" s="147">
        <v>9.2999999999999992E-3</v>
      </c>
      <c r="C23" s="147">
        <v>2.9999999999999997E-4</v>
      </c>
      <c r="D23" s="147">
        <v>5.7000000000000002E-3</v>
      </c>
      <c r="E23" s="147">
        <v>1.5599999999999999E-2</v>
      </c>
      <c r="F23" s="147">
        <v>1.38E-2</v>
      </c>
      <c r="G23" s="147">
        <v>1.14E-2</v>
      </c>
    </row>
    <row r="24" spans="1:7" ht="13.5" thickBot="1">
      <c r="A24" s="162" t="s">
        <v>563</v>
      </c>
      <c r="B24" s="152">
        <v>5.4000000000000003E-3</v>
      </c>
      <c r="C24" s="272">
        <v>2.0000000000000001E-4</v>
      </c>
      <c r="D24" s="152">
        <v>1.9E-3</v>
      </c>
      <c r="E24" s="152">
        <v>9.7999999999999997E-3</v>
      </c>
      <c r="F24" s="152">
        <v>8.8999999999999999E-3</v>
      </c>
      <c r="G24" s="152">
        <v>1.01E-2</v>
      </c>
    </row>
    <row r="25" spans="1:7">
      <c r="A25" s="35"/>
      <c r="B25" s="47"/>
      <c r="C25" s="62"/>
      <c r="D25" s="47"/>
      <c r="E25" s="47"/>
      <c r="F25" s="47"/>
      <c r="G25" s="47"/>
    </row>
    <row r="26" spans="1:7">
      <c r="A26" s="338" t="s">
        <v>509</v>
      </c>
    </row>
    <row r="27" spans="1:7" ht="26.25" customHeight="1">
      <c r="A27" s="391" t="s">
        <v>764</v>
      </c>
      <c r="B27" s="395"/>
      <c r="C27" s="395"/>
      <c r="D27" s="395"/>
      <c r="E27" s="395"/>
      <c r="F27" s="395"/>
      <c r="G27" s="395"/>
    </row>
    <row r="29" spans="1:7">
      <c r="A29" s="1" t="s">
        <v>184</v>
      </c>
    </row>
    <row r="30" spans="1:7">
      <c r="A30" t="s">
        <v>197</v>
      </c>
    </row>
  </sheetData>
  <mergeCells count="2">
    <mergeCell ref="A27:G27"/>
    <mergeCell ref="A1:G1"/>
  </mergeCells>
  <pageMargins left="0.7" right="0.7" top="0.78740157499999996" bottom="0.78740157499999996"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0"/>
  <sheetViews>
    <sheetView zoomScaleNormal="100" workbookViewId="0">
      <selection activeCell="P25" sqref="P25"/>
    </sheetView>
  </sheetViews>
  <sheetFormatPr baseColWidth="10" defaultRowHeight="12.75"/>
  <cols>
    <col min="1" max="1" width="19.7109375" customWidth="1"/>
    <col min="2" max="7" width="11" customWidth="1"/>
  </cols>
  <sheetData>
    <row r="1" spans="1:9" ht="30" customHeight="1">
      <c r="A1" s="396" t="s">
        <v>741</v>
      </c>
      <c r="B1" s="396"/>
      <c r="C1" s="396"/>
      <c r="D1" s="396"/>
      <c r="E1" s="396"/>
      <c r="F1" s="396"/>
      <c r="G1" s="396"/>
      <c r="H1" s="45"/>
      <c r="I1" s="45"/>
    </row>
    <row r="2" spans="1:9">
      <c r="G2" s="2" t="s">
        <v>583</v>
      </c>
    </row>
    <row r="3" spans="1:9" ht="13.5" thickBot="1"/>
    <row r="4" spans="1:9">
      <c r="A4" s="264" t="s">
        <v>731</v>
      </c>
      <c r="B4" s="264" t="s">
        <v>100</v>
      </c>
      <c r="C4" s="264" t="s">
        <v>407</v>
      </c>
      <c r="D4" s="264" t="s">
        <v>408</v>
      </c>
      <c r="E4" s="264" t="s">
        <v>409</v>
      </c>
      <c r="F4" s="264" t="s">
        <v>417</v>
      </c>
      <c r="G4" s="264" t="s">
        <v>416</v>
      </c>
    </row>
    <row r="5" spans="1:9">
      <c r="A5" s="145"/>
      <c r="B5" s="145"/>
      <c r="C5" s="145"/>
      <c r="D5" s="145"/>
      <c r="E5" s="145"/>
      <c r="F5" s="145"/>
      <c r="G5" s="145"/>
    </row>
    <row r="6" spans="1:9">
      <c r="A6" s="121" t="s">
        <v>100</v>
      </c>
      <c r="B6" s="258">
        <v>1</v>
      </c>
      <c r="C6" s="258">
        <v>3.6900000000000002E-2</v>
      </c>
      <c r="D6" s="258">
        <v>0.2712</v>
      </c>
      <c r="E6" s="258">
        <v>0.4118</v>
      </c>
      <c r="F6" s="258">
        <v>0.2427</v>
      </c>
      <c r="G6" s="258">
        <v>3.7499999999999999E-2</v>
      </c>
      <c r="H6" s="15"/>
    </row>
    <row r="7" spans="1:9">
      <c r="A7" s="121" t="s">
        <v>99</v>
      </c>
      <c r="B7" s="258">
        <v>0</v>
      </c>
      <c r="C7" s="258">
        <v>0</v>
      </c>
      <c r="D7" s="340">
        <v>0</v>
      </c>
      <c r="E7" s="258">
        <v>0</v>
      </c>
      <c r="F7" s="258">
        <v>0</v>
      </c>
      <c r="G7" s="258">
        <v>0</v>
      </c>
    </row>
    <row r="8" spans="1:9">
      <c r="A8" s="121" t="s">
        <v>560</v>
      </c>
      <c r="B8" s="258">
        <v>1.38E-2</v>
      </c>
      <c r="C8" s="258">
        <v>2E-3</v>
      </c>
      <c r="D8" s="340">
        <v>4.4000000000000003E-3</v>
      </c>
      <c r="E8" s="258">
        <v>3.2000000000000002E-3</v>
      </c>
      <c r="F8" s="258">
        <v>3.8E-3</v>
      </c>
      <c r="G8" s="258">
        <v>4.0000000000000002E-4</v>
      </c>
    </row>
    <row r="9" spans="1:9">
      <c r="A9" s="121" t="s">
        <v>561</v>
      </c>
      <c r="B9" s="258">
        <v>0.1857</v>
      </c>
      <c r="C9" s="258">
        <v>2.5700000000000001E-2</v>
      </c>
      <c r="D9" s="340">
        <v>7.2599999999999998E-2</v>
      </c>
      <c r="E9" s="258">
        <v>6.13E-2</v>
      </c>
      <c r="F9" s="258">
        <v>2.4400000000000002E-2</v>
      </c>
      <c r="G9" s="258">
        <v>1.6999999999999999E-3</v>
      </c>
    </row>
    <row r="10" spans="1:9">
      <c r="A10" s="121" t="s">
        <v>562</v>
      </c>
      <c r="B10" s="258">
        <v>0.1371</v>
      </c>
      <c r="C10" s="258">
        <v>5.8999999999999999E-3</v>
      </c>
      <c r="D10" s="340">
        <v>5.8700000000000002E-2</v>
      </c>
      <c r="E10" s="258">
        <v>5.45E-2</v>
      </c>
      <c r="F10" s="258">
        <v>1.6899999999999998E-2</v>
      </c>
      <c r="G10" s="258">
        <v>1.1999999999999999E-3</v>
      </c>
    </row>
    <row r="11" spans="1:9">
      <c r="A11" s="121" t="s">
        <v>548</v>
      </c>
      <c r="B11" s="258">
        <v>0.27679999999999999</v>
      </c>
      <c r="C11" s="258">
        <v>1.5E-3</v>
      </c>
      <c r="D11" s="340">
        <v>8.8700000000000001E-2</v>
      </c>
      <c r="E11" s="258">
        <v>0.12529999999999999</v>
      </c>
      <c r="F11" s="258">
        <v>5.5E-2</v>
      </c>
      <c r="G11" s="258">
        <v>6.1999999999999998E-3</v>
      </c>
    </row>
    <row r="12" spans="1:9">
      <c r="A12" s="121" t="s">
        <v>377</v>
      </c>
      <c r="B12" s="258">
        <v>0.12659999999999999</v>
      </c>
      <c r="C12" s="258">
        <v>1.6999999999999999E-3</v>
      </c>
      <c r="D12" s="258">
        <v>2.1299999999999999E-2</v>
      </c>
      <c r="E12" s="258">
        <v>5.8200000000000002E-2</v>
      </c>
      <c r="F12" s="258">
        <v>4.2700000000000002E-2</v>
      </c>
      <c r="G12" s="258">
        <v>2.7000000000000001E-3</v>
      </c>
    </row>
    <row r="13" spans="1:9" ht="13.5" thickBot="1">
      <c r="A13" s="162" t="s">
        <v>563</v>
      </c>
      <c r="B13" s="276">
        <v>0.26</v>
      </c>
      <c r="C13" s="276">
        <v>0</v>
      </c>
      <c r="D13" s="276">
        <v>2.5600000000000001E-2</v>
      </c>
      <c r="E13" s="276">
        <v>0.10920000000000001</v>
      </c>
      <c r="F13" s="276">
        <v>9.9900000000000003E-2</v>
      </c>
      <c r="G13" s="276">
        <v>2.53E-2</v>
      </c>
    </row>
    <row r="14" spans="1:9" ht="13.5" thickBot="1">
      <c r="A14" s="121"/>
      <c r="B14" s="147"/>
      <c r="C14" s="194"/>
      <c r="D14" s="147"/>
      <c r="E14" s="147"/>
      <c r="F14" s="147"/>
      <c r="G14" s="147"/>
    </row>
    <row r="15" spans="1:9">
      <c r="A15" s="264" t="s">
        <v>749</v>
      </c>
      <c r="B15" s="264" t="s">
        <v>100</v>
      </c>
      <c r="C15" s="264" t="s">
        <v>407</v>
      </c>
      <c r="D15" s="264" t="s">
        <v>408</v>
      </c>
      <c r="E15" s="264" t="s">
        <v>409</v>
      </c>
      <c r="F15" s="264" t="s">
        <v>417</v>
      </c>
      <c r="G15" s="264" t="s">
        <v>416</v>
      </c>
    </row>
    <row r="16" spans="1:9">
      <c r="A16" s="145"/>
      <c r="B16" s="145"/>
      <c r="C16" s="145"/>
      <c r="D16" s="145"/>
      <c r="E16" s="145"/>
      <c r="F16" s="145"/>
      <c r="G16" s="145"/>
    </row>
    <row r="17" spans="1:7">
      <c r="A17" s="121" t="s">
        <v>100</v>
      </c>
      <c r="B17" s="258">
        <v>1</v>
      </c>
      <c r="C17" s="258">
        <v>3.6600000000000001E-2</v>
      </c>
      <c r="D17" s="258">
        <v>0.26090000000000002</v>
      </c>
      <c r="E17" s="258">
        <v>0.42849999999999999</v>
      </c>
      <c r="F17" s="258">
        <v>0.24329999999999999</v>
      </c>
      <c r="G17" s="258">
        <v>3.0700000000000002E-2</v>
      </c>
    </row>
    <row r="18" spans="1:7">
      <c r="A18" s="121" t="s">
        <v>99</v>
      </c>
      <c r="B18" s="258">
        <v>0</v>
      </c>
      <c r="C18" s="258">
        <v>0</v>
      </c>
      <c r="D18" s="258">
        <v>0</v>
      </c>
      <c r="E18" s="258">
        <v>0</v>
      </c>
      <c r="F18" s="258">
        <v>0</v>
      </c>
      <c r="G18" s="258">
        <v>0</v>
      </c>
    </row>
    <row r="19" spans="1:7">
      <c r="A19" s="121" t="s">
        <v>560</v>
      </c>
      <c r="B19" s="258">
        <v>1.4E-2</v>
      </c>
      <c r="C19" s="258">
        <v>1.8E-3</v>
      </c>
      <c r="D19" s="258">
        <v>4.4999999999999997E-3</v>
      </c>
      <c r="E19" s="258">
        <v>3.0999999999999999E-3</v>
      </c>
      <c r="F19" s="258">
        <v>4.0000000000000001E-3</v>
      </c>
      <c r="G19" s="258">
        <v>4.0000000000000002E-4</v>
      </c>
    </row>
    <row r="20" spans="1:7">
      <c r="A20" s="121" t="s">
        <v>561</v>
      </c>
      <c r="B20" s="258">
        <v>0.1822</v>
      </c>
      <c r="C20" s="258">
        <v>2.52E-2</v>
      </c>
      <c r="D20" s="339">
        <v>6.8900000000000003E-2</v>
      </c>
      <c r="E20" s="258">
        <v>6.1199999999999997E-2</v>
      </c>
      <c r="F20" s="258">
        <v>2.4799999999999999E-2</v>
      </c>
      <c r="G20" s="258">
        <v>2.2000000000000001E-3</v>
      </c>
    </row>
    <row r="21" spans="1:7">
      <c r="A21" s="121" t="s">
        <v>562</v>
      </c>
      <c r="B21" s="258">
        <v>0.13850000000000001</v>
      </c>
      <c r="C21" s="258">
        <v>6.1000000000000004E-3</v>
      </c>
      <c r="D21" s="258">
        <v>5.8400000000000001E-2</v>
      </c>
      <c r="E21" s="258">
        <v>5.57E-2</v>
      </c>
      <c r="F21" s="258">
        <v>1.72E-2</v>
      </c>
      <c r="G21" s="258">
        <v>1.1000000000000001E-3</v>
      </c>
    </row>
    <row r="22" spans="1:7">
      <c r="A22" s="121" t="s">
        <v>548</v>
      </c>
      <c r="B22" s="258">
        <v>0.28549999999999998</v>
      </c>
      <c r="C22" s="258">
        <v>1.6999999999999999E-3</v>
      </c>
      <c r="D22" s="258">
        <v>8.7900000000000006E-2</v>
      </c>
      <c r="E22" s="258">
        <v>0.1318</v>
      </c>
      <c r="F22" s="258">
        <v>5.91E-2</v>
      </c>
      <c r="G22" s="258">
        <v>4.8999999999999998E-3</v>
      </c>
    </row>
    <row r="23" spans="1:7">
      <c r="A23" s="121" t="s">
        <v>377</v>
      </c>
      <c r="B23" s="258">
        <v>0.1174</v>
      </c>
      <c r="C23" s="258">
        <v>1E-3</v>
      </c>
      <c r="D23" s="258">
        <v>2.1899999999999999E-2</v>
      </c>
      <c r="E23" s="258">
        <v>5.5300000000000002E-2</v>
      </c>
      <c r="F23" s="258">
        <v>3.5999999999999997E-2</v>
      </c>
      <c r="G23" s="258">
        <v>3.2000000000000002E-3</v>
      </c>
    </row>
    <row r="24" spans="1:7" ht="13.5" thickBot="1">
      <c r="A24" s="162" t="s">
        <v>563</v>
      </c>
      <c r="B24" s="276">
        <v>0.26250000000000001</v>
      </c>
      <c r="C24" s="276">
        <v>6.9999999999999999E-4</v>
      </c>
      <c r="D24" s="276">
        <v>1.9300000000000001E-2</v>
      </c>
      <c r="E24" s="276">
        <v>0.1215</v>
      </c>
      <c r="F24" s="276">
        <v>0.1022</v>
      </c>
      <c r="G24" s="276">
        <v>1.8800000000000001E-2</v>
      </c>
    </row>
    <row r="25" spans="1:7">
      <c r="B25" s="46"/>
      <c r="C25" s="46"/>
      <c r="D25" s="46"/>
      <c r="E25" s="46"/>
      <c r="F25" s="46"/>
    </row>
    <row r="26" spans="1:7">
      <c r="A26" s="338" t="s">
        <v>509</v>
      </c>
    </row>
    <row r="27" spans="1:7" ht="63.75" customHeight="1">
      <c r="A27" s="384" t="s">
        <v>765</v>
      </c>
      <c r="B27" s="384"/>
      <c r="C27" s="384"/>
      <c r="D27" s="384"/>
      <c r="E27" s="384"/>
      <c r="F27" s="384"/>
      <c r="G27" s="384"/>
    </row>
    <row r="29" spans="1:7">
      <c r="A29" s="1" t="s">
        <v>184</v>
      </c>
    </row>
    <row r="30" spans="1:7">
      <c r="A30" t="s">
        <v>197</v>
      </c>
    </row>
  </sheetData>
  <mergeCells count="2">
    <mergeCell ref="A1:G1"/>
    <mergeCell ref="A27:G27"/>
  </mergeCells>
  <pageMargins left="0.7" right="0.7" top="0.78740157499999996" bottom="0.78740157499999996"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C17" sqref="C17"/>
    </sheetView>
  </sheetViews>
  <sheetFormatPr baseColWidth="10" defaultRowHeight="12.75"/>
  <cols>
    <col min="1" max="1" width="19.7109375" customWidth="1"/>
    <col min="2" max="8" width="9.28515625" customWidth="1"/>
  </cols>
  <sheetData>
    <row r="1" spans="1:8" ht="30" customHeight="1">
      <c r="A1" s="398" t="s">
        <v>742</v>
      </c>
      <c r="B1" s="398"/>
      <c r="C1" s="398"/>
      <c r="D1" s="398"/>
      <c r="E1" s="398"/>
      <c r="F1" s="398"/>
      <c r="G1" s="398"/>
      <c r="H1" s="398"/>
    </row>
    <row r="2" spans="1:8">
      <c r="A2" s="1"/>
      <c r="G2" s="2"/>
      <c r="H2" s="2" t="s">
        <v>584</v>
      </c>
    </row>
    <row r="3" spans="1:8" ht="13.5" thickBot="1">
      <c r="A3" s="5"/>
      <c r="G3" s="2"/>
    </row>
    <row r="4" spans="1:8">
      <c r="A4" s="341" t="s">
        <v>731</v>
      </c>
      <c r="B4" s="341" t="s">
        <v>100</v>
      </c>
      <c r="C4" s="341" t="s">
        <v>437</v>
      </c>
      <c r="D4" s="341" t="s">
        <v>438</v>
      </c>
      <c r="E4" s="341" t="s">
        <v>439</v>
      </c>
      <c r="F4" s="341" t="s">
        <v>440</v>
      </c>
      <c r="G4" s="341" t="s">
        <v>441</v>
      </c>
      <c r="H4" s="342" t="s">
        <v>442</v>
      </c>
    </row>
    <row r="5" spans="1:8">
      <c r="A5" s="145"/>
      <c r="B5" s="145"/>
      <c r="C5" s="145"/>
      <c r="D5" s="145"/>
      <c r="E5" s="145"/>
      <c r="F5" s="145"/>
      <c r="G5" s="145"/>
      <c r="H5" s="17"/>
    </row>
    <row r="6" spans="1:8">
      <c r="A6" s="121" t="s">
        <v>100</v>
      </c>
      <c r="B6" s="147">
        <v>1</v>
      </c>
      <c r="C6" s="147">
        <v>1</v>
      </c>
      <c r="D6" s="147">
        <v>1</v>
      </c>
      <c r="E6" s="147">
        <v>1</v>
      </c>
      <c r="F6" s="147">
        <v>1</v>
      </c>
      <c r="G6" s="147">
        <v>1</v>
      </c>
      <c r="H6" s="147">
        <v>1</v>
      </c>
    </row>
    <row r="7" spans="1:8">
      <c r="A7" s="121" t="s">
        <v>99</v>
      </c>
      <c r="B7" s="147">
        <v>0.14119999999999999</v>
      </c>
      <c r="C7" s="147">
        <v>0.21240000000000001</v>
      </c>
      <c r="D7" s="147">
        <v>0.1323</v>
      </c>
      <c r="E7" s="147">
        <v>7.4300000000000005E-2</v>
      </c>
      <c r="F7" s="147">
        <v>5.79E-2</v>
      </c>
      <c r="G7" s="147">
        <v>9.0300000000000005E-2</v>
      </c>
      <c r="H7" s="147">
        <v>0.13100000000000001</v>
      </c>
    </row>
    <row r="8" spans="1:8">
      <c r="A8" s="121" t="s">
        <v>560</v>
      </c>
      <c r="B8" s="147">
        <v>0.123</v>
      </c>
      <c r="C8" s="147">
        <v>0.14860000000000001</v>
      </c>
      <c r="D8" s="147">
        <v>0.1208</v>
      </c>
      <c r="E8" s="147">
        <v>9.7199999999999995E-2</v>
      </c>
      <c r="F8" s="147">
        <v>9.4299999999999995E-2</v>
      </c>
      <c r="G8" s="147">
        <v>0.1024</v>
      </c>
      <c r="H8" s="147">
        <v>0.10920000000000001</v>
      </c>
    </row>
    <row r="9" spans="1:8">
      <c r="A9" s="121" t="s">
        <v>561</v>
      </c>
      <c r="B9" s="147">
        <v>0.34610000000000002</v>
      </c>
      <c r="C9" s="147">
        <v>0.38119999999999998</v>
      </c>
      <c r="D9" s="147">
        <v>0.30830000000000002</v>
      </c>
      <c r="E9" s="147">
        <v>0.35320000000000001</v>
      </c>
      <c r="F9" s="147">
        <v>0.34470000000000001</v>
      </c>
      <c r="G9" s="147">
        <v>0.31540000000000001</v>
      </c>
      <c r="H9" s="147">
        <v>0.3362</v>
      </c>
    </row>
    <row r="10" spans="1:8">
      <c r="A10" s="121" t="s">
        <v>562</v>
      </c>
      <c r="B10" s="147">
        <v>0.19869999999999999</v>
      </c>
      <c r="C10" s="147">
        <v>0.1434</v>
      </c>
      <c r="D10" s="147">
        <v>0.22270000000000001</v>
      </c>
      <c r="E10" s="147">
        <v>0.24990000000000001</v>
      </c>
      <c r="F10" s="147">
        <v>0.23469999999999999</v>
      </c>
      <c r="G10" s="147">
        <v>0.22370000000000001</v>
      </c>
      <c r="H10" s="147">
        <v>0.13100000000000001</v>
      </c>
    </row>
    <row r="11" spans="1:8">
      <c r="A11" s="121" t="s">
        <v>548</v>
      </c>
      <c r="B11" s="147">
        <v>0.15909999999999999</v>
      </c>
      <c r="C11" s="147">
        <v>9.3899999999999997E-2</v>
      </c>
      <c r="D11" s="147">
        <v>0.1797</v>
      </c>
      <c r="E11" s="147">
        <v>0.18779999999999999</v>
      </c>
      <c r="F11" s="147">
        <v>0.23069999999999999</v>
      </c>
      <c r="G11" s="147">
        <v>0.21829999999999999</v>
      </c>
      <c r="H11" s="147">
        <v>0.22270000000000001</v>
      </c>
    </row>
    <row r="12" spans="1:8">
      <c r="A12" s="121" t="s">
        <v>377</v>
      </c>
      <c r="B12" s="147">
        <v>1.77E-2</v>
      </c>
      <c r="C12" s="147">
        <v>1.2200000000000001E-2</v>
      </c>
      <c r="D12" s="147">
        <v>1.9699999999999999E-2</v>
      </c>
      <c r="E12" s="147">
        <v>2.0400000000000001E-2</v>
      </c>
      <c r="F12" s="147">
        <v>2.1100000000000001E-2</v>
      </c>
      <c r="G12" s="147">
        <v>2.29E-2</v>
      </c>
      <c r="H12" s="147">
        <v>3.9300000000000002E-2</v>
      </c>
    </row>
    <row r="13" spans="1:8" ht="13.5" thickBot="1">
      <c r="A13" s="162" t="s">
        <v>563</v>
      </c>
      <c r="B13" s="152">
        <v>1.4200000000000001E-2</v>
      </c>
      <c r="C13" s="277">
        <v>8.0999999999999996E-3</v>
      </c>
      <c r="D13" s="152">
        <v>1.6400000000000001E-2</v>
      </c>
      <c r="E13" s="152">
        <v>1.7100000000000001E-2</v>
      </c>
      <c r="F13" s="152">
        <v>1.66E-2</v>
      </c>
      <c r="G13" s="152">
        <v>2.7E-2</v>
      </c>
      <c r="H13" s="152">
        <v>3.0599999999999999E-2</v>
      </c>
    </row>
    <row r="14" spans="1:8" ht="13.5" thickBot="1">
      <c r="A14" s="273"/>
      <c r="B14" s="274"/>
      <c r="C14" s="278"/>
      <c r="D14" s="274"/>
      <c r="E14" s="274"/>
      <c r="F14" s="274"/>
      <c r="G14" s="274"/>
      <c r="H14" s="274"/>
    </row>
    <row r="15" spans="1:8">
      <c r="A15" s="279" t="s">
        <v>749</v>
      </c>
      <c r="B15" s="279" t="s">
        <v>100</v>
      </c>
      <c r="C15" s="279" t="s">
        <v>437</v>
      </c>
      <c r="D15" s="279" t="s">
        <v>438</v>
      </c>
      <c r="E15" s="279" t="s">
        <v>439</v>
      </c>
      <c r="F15" s="279" t="s">
        <v>440</v>
      </c>
      <c r="G15" s="279" t="s">
        <v>441</v>
      </c>
      <c r="H15" s="321" t="s">
        <v>442</v>
      </c>
    </row>
    <row r="16" spans="1:8">
      <c r="A16" s="145"/>
      <c r="B16" s="145"/>
      <c r="C16" s="145"/>
      <c r="D16" s="145"/>
      <c r="E16" s="145"/>
      <c r="F16" s="145"/>
      <c r="G16" s="145"/>
      <c r="H16" s="17"/>
    </row>
    <row r="17" spans="1:8">
      <c r="A17" s="121" t="s">
        <v>100</v>
      </c>
      <c r="B17" s="147">
        <v>1</v>
      </c>
      <c r="C17" s="147">
        <v>1</v>
      </c>
      <c r="D17" s="147">
        <v>1</v>
      </c>
      <c r="E17" s="147">
        <v>1</v>
      </c>
      <c r="F17" s="147">
        <v>1</v>
      </c>
      <c r="G17" s="147">
        <v>1</v>
      </c>
      <c r="H17" s="147">
        <v>1</v>
      </c>
    </row>
    <row r="18" spans="1:8">
      <c r="A18" s="121" t="s">
        <v>99</v>
      </c>
      <c r="B18" s="147">
        <v>0.14399999999999999</v>
      </c>
      <c r="C18" s="147">
        <v>0.21099999999999999</v>
      </c>
      <c r="D18" s="147">
        <v>0.1303</v>
      </c>
      <c r="E18" s="147">
        <v>8.1900000000000001E-2</v>
      </c>
      <c r="F18" s="147">
        <v>6.4299999999999996E-2</v>
      </c>
      <c r="G18" s="147">
        <v>0.1154</v>
      </c>
      <c r="H18" s="147">
        <v>0.2</v>
      </c>
    </row>
    <row r="19" spans="1:8">
      <c r="A19" s="121" t="s">
        <v>560</v>
      </c>
      <c r="B19" s="147">
        <v>0.1227</v>
      </c>
      <c r="C19" s="147">
        <v>0.14380000000000001</v>
      </c>
      <c r="D19" s="147">
        <v>0.11700000000000001</v>
      </c>
      <c r="E19" s="147">
        <v>9.5799999999999996E-2</v>
      </c>
      <c r="F19" s="147">
        <v>0.10639999999999999</v>
      </c>
      <c r="G19" s="147">
        <v>0.1195</v>
      </c>
      <c r="H19" s="147">
        <v>0.14779999999999999</v>
      </c>
    </row>
    <row r="20" spans="1:8">
      <c r="A20" s="121" t="s">
        <v>561</v>
      </c>
      <c r="B20" s="147">
        <v>0.34499999999999997</v>
      </c>
      <c r="C20" s="147">
        <v>0.37769999999999998</v>
      </c>
      <c r="D20" s="332">
        <v>0.31240000000000001</v>
      </c>
      <c r="E20" s="147">
        <v>0.36059999999999998</v>
      </c>
      <c r="F20" s="147">
        <v>0.33839999999999998</v>
      </c>
      <c r="G20" s="147">
        <v>0.31009999999999999</v>
      </c>
      <c r="H20" s="147">
        <v>0.26090000000000002</v>
      </c>
    </row>
    <row r="21" spans="1:8">
      <c r="A21" s="121" t="s">
        <v>562</v>
      </c>
      <c r="B21" s="147">
        <v>0.19320000000000001</v>
      </c>
      <c r="C21" s="147">
        <v>0.1464</v>
      </c>
      <c r="D21" s="147">
        <v>0.21890000000000001</v>
      </c>
      <c r="E21" s="147">
        <v>0.23050000000000001</v>
      </c>
      <c r="F21" s="147">
        <v>0.2248</v>
      </c>
      <c r="G21" s="147">
        <v>0.19059999999999999</v>
      </c>
      <c r="H21" s="147">
        <v>0.1391</v>
      </c>
    </row>
    <row r="22" spans="1:8">
      <c r="A22" s="121" t="s">
        <v>548</v>
      </c>
      <c r="B22" s="147">
        <v>0.1638</v>
      </c>
      <c r="C22" s="147">
        <v>0.1017</v>
      </c>
      <c r="D22" s="147">
        <v>0.18759999999999999</v>
      </c>
      <c r="E22" s="147">
        <v>0.19239999999999999</v>
      </c>
      <c r="F22" s="147">
        <v>0.22750000000000001</v>
      </c>
      <c r="G22" s="147">
        <v>0.20399999999999999</v>
      </c>
      <c r="H22" s="147">
        <v>0.20430000000000001</v>
      </c>
    </row>
    <row r="23" spans="1:8">
      <c r="A23" s="121" t="s">
        <v>377</v>
      </c>
      <c r="B23" s="147">
        <v>1.77E-2</v>
      </c>
      <c r="C23" s="147">
        <v>1.11E-2</v>
      </c>
      <c r="D23" s="147">
        <v>1.9300000000000001E-2</v>
      </c>
      <c r="E23" s="147">
        <v>2.1700000000000001E-2</v>
      </c>
      <c r="F23" s="147">
        <v>2.1700000000000001E-2</v>
      </c>
      <c r="G23" s="147">
        <v>3.2199999999999999E-2</v>
      </c>
      <c r="H23" s="147">
        <v>2.6100000000000002E-2</v>
      </c>
    </row>
    <row r="24" spans="1:8" ht="13.5" thickBot="1">
      <c r="A24" s="162" t="s">
        <v>563</v>
      </c>
      <c r="B24" s="152">
        <v>1.3599999999999999E-2</v>
      </c>
      <c r="C24" s="277">
        <v>8.2000000000000007E-3</v>
      </c>
      <c r="D24" s="152">
        <v>1.4500000000000001E-2</v>
      </c>
      <c r="E24" s="152">
        <v>1.72E-2</v>
      </c>
      <c r="F24" s="152">
        <v>1.6899999999999998E-2</v>
      </c>
      <c r="G24" s="152">
        <v>2.8199999999999999E-2</v>
      </c>
      <c r="H24" s="152">
        <v>2.1700000000000001E-2</v>
      </c>
    </row>
    <row r="25" spans="1:8">
      <c r="B25" s="46"/>
      <c r="C25" s="54"/>
      <c r="D25" s="54"/>
      <c r="E25" s="54"/>
      <c r="F25" s="54"/>
      <c r="G25" s="54"/>
      <c r="H25" s="54"/>
    </row>
    <row r="26" spans="1:8">
      <c r="A26" s="338" t="s">
        <v>509</v>
      </c>
    </row>
    <row r="27" spans="1:8" ht="25.5" customHeight="1">
      <c r="A27" s="391" t="s">
        <v>766</v>
      </c>
      <c r="B27" s="395"/>
      <c r="C27" s="395"/>
      <c r="D27" s="395"/>
      <c r="E27" s="395"/>
      <c r="F27" s="395"/>
      <c r="G27" s="395"/>
      <c r="H27" s="397"/>
    </row>
    <row r="29" spans="1:8">
      <c r="A29" s="1" t="s">
        <v>184</v>
      </c>
    </row>
    <row r="30" spans="1:8">
      <c r="A30" t="s">
        <v>197</v>
      </c>
    </row>
  </sheetData>
  <mergeCells count="2">
    <mergeCell ref="A27:H27"/>
    <mergeCell ref="A1:H1"/>
  </mergeCells>
  <pageMargins left="0.7" right="0.7" top="0.78740157499999996" bottom="0.78740157499999996"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30"/>
  <sheetViews>
    <sheetView zoomScaleNormal="100" workbookViewId="0">
      <selection activeCell="C17" sqref="C17"/>
    </sheetView>
  </sheetViews>
  <sheetFormatPr baseColWidth="10" defaultRowHeight="12.75"/>
  <cols>
    <col min="1" max="1" width="19.7109375" customWidth="1"/>
    <col min="2" max="8" width="9.28515625" customWidth="1"/>
  </cols>
  <sheetData>
    <row r="1" spans="1:8" ht="30" customHeight="1">
      <c r="A1" s="398" t="s">
        <v>743</v>
      </c>
      <c r="B1" s="398"/>
      <c r="C1" s="398"/>
      <c r="D1" s="398"/>
      <c r="E1" s="398"/>
      <c r="F1" s="398"/>
      <c r="G1" s="398"/>
      <c r="H1" s="398"/>
    </row>
    <row r="2" spans="1:8">
      <c r="A2" s="1"/>
      <c r="G2" s="2"/>
      <c r="H2" s="2" t="s">
        <v>585</v>
      </c>
    </row>
    <row r="4" spans="1:8">
      <c r="A4" s="254" t="s">
        <v>731</v>
      </c>
      <c r="B4" s="254" t="s">
        <v>100</v>
      </c>
      <c r="C4" s="254" t="s">
        <v>437</v>
      </c>
      <c r="D4" s="254" t="s">
        <v>438</v>
      </c>
      <c r="E4" s="254" t="s">
        <v>439</v>
      </c>
      <c r="F4" s="254" t="s">
        <v>440</v>
      </c>
      <c r="G4" s="254" t="s">
        <v>441</v>
      </c>
      <c r="H4" s="320" t="s">
        <v>442</v>
      </c>
    </row>
    <row r="5" spans="1:8">
      <c r="A5" s="145"/>
      <c r="B5" s="145"/>
      <c r="C5" s="145"/>
      <c r="D5" s="145"/>
      <c r="E5" s="145"/>
      <c r="F5" s="145"/>
      <c r="G5" s="145"/>
      <c r="H5" s="17"/>
    </row>
    <row r="6" spans="1:8">
      <c r="A6" s="121" t="s">
        <v>100</v>
      </c>
      <c r="B6" s="258">
        <v>1</v>
      </c>
      <c r="C6" s="258">
        <v>0.23430000000000001</v>
      </c>
      <c r="D6" s="258">
        <v>0.36620000000000003</v>
      </c>
      <c r="E6" s="258">
        <v>0.15290000000000001</v>
      </c>
      <c r="F6" s="258">
        <v>0.1656</v>
      </c>
      <c r="G6" s="258">
        <v>5.9299999999999999E-2</v>
      </c>
      <c r="H6" s="258">
        <v>2.1600000000000001E-2</v>
      </c>
    </row>
    <row r="7" spans="1:8">
      <c r="A7" s="121" t="s">
        <v>99</v>
      </c>
      <c r="B7" s="258">
        <v>0</v>
      </c>
      <c r="C7" s="258">
        <v>0</v>
      </c>
      <c r="D7" s="258">
        <v>0</v>
      </c>
      <c r="E7" s="258">
        <v>0</v>
      </c>
      <c r="F7" s="258">
        <v>0</v>
      </c>
      <c r="G7" s="258">
        <v>0</v>
      </c>
      <c r="H7" s="258">
        <v>0</v>
      </c>
    </row>
    <row r="8" spans="1:8">
      <c r="A8" s="121" t="s">
        <v>560</v>
      </c>
      <c r="B8" s="258">
        <v>4.7999999999999996E-3</v>
      </c>
      <c r="C8" s="258">
        <v>2.0999999999999999E-3</v>
      </c>
      <c r="D8" s="258">
        <v>1.4E-3</v>
      </c>
      <c r="E8" s="258">
        <v>5.9999999999999995E-4</v>
      </c>
      <c r="F8" s="258">
        <v>5.0000000000000001E-4</v>
      </c>
      <c r="G8" s="258">
        <v>2.0000000000000001E-4</v>
      </c>
      <c r="H8" s="258">
        <v>1E-4</v>
      </c>
    </row>
    <row r="9" spans="1:8">
      <c r="A9" s="121" t="s">
        <v>561</v>
      </c>
      <c r="B9" s="258">
        <v>9.4600000000000004E-2</v>
      </c>
      <c r="C9" s="258">
        <v>3.6999999999999998E-2</v>
      </c>
      <c r="D9" s="340">
        <v>2.64E-2</v>
      </c>
      <c r="E9" s="258">
        <v>1.4200000000000001E-2</v>
      </c>
      <c r="F9" s="258">
        <v>1.23E-2</v>
      </c>
      <c r="G9" s="258">
        <v>3.5999999999999999E-3</v>
      </c>
      <c r="H9" s="258">
        <v>1.1999999999999999E-3</v>
      </c>
    </row>
    <row r="10" spans="1:8">
      <c r="A10" s="121" t="s">
        <v>562</v>
      </c>
      <c r="B10" s="258">
        <v>0.1348</v>
      </c>
      <c r="C10" s="258">
        <v>3.39E-2</v>
      </c>
      <c r="D10" s="258">
        <v>4.8000000000000001E-2</v>
      </c>
      <c r="E10" s="258">
        <v>2.41E-2</v>
      </c>
      <c r="F10" s="258">
        <v>2.1000000000000001E-2</v>
      </c>
      <c r="G10" s="258">
        <v>6.7000000000000002E-3</v>
      </c>
      <c r="H10" s="258">
        <v>1.1999999999999999E-3</v>
      </c>
    </row>
    <row r="11" spans="1:8">
      <c r="A11" s="121" t="s">
        <v>548</v>
      </c>
      <c r="B11" s="258">
        <v>0.29799999999999999</v>
      </c>
      <c r="C11" s="258">
        <v>6.1499999999999999E-2</v>
      </c>
      <c r="D11" s="258">
        <v>0.10489999999999999</v>
      </c>
      <c r="E11" s="258">
        <v>4.87E-2</v>
      </c>
      <c r="F11" s="258">
        <v>5.7200000000000001E-2</v>
      </c>
      <c r="G11" s="258">
        <v>1.8700000000000001E-2</v>
      </c>
      <c r="H11" s="258">
        <v>7.0000000000000001E-3</v>
      </c>
    </row>
    <row r="12" spans="1:8">
      <c r="A12" s="121" t="s">
        <v>377</v>
      </c>
      <c r="B12" s="258">
        <v>0.1162</v>
      </c>
      <c r="C12" s="258">
        <v>2.9600000000000001E-2</v>
      </c>
      <c r="D12" s="258">
        <v>4.1599999999999998E-2</v>
      </c>
      <c r="E12" s="258">
        <v>1.8700000000000001E-2</v>
      </c>
      <c r="F12" s="258">
        <v>1.66E-2</v>
      </c>
      <c r="G12" s="258">
        <v>6.1999999999999998E-3</v>
      </c>
      <c r="H12" s="258">
        <v>3.5000000000000001E-3</v>
      </c>
    </row>
    <row r="13" spans="1:8" ht="13.5" thickBot="1">
      <c r="A13" s="162" t="s">
        <v>563</v>
      </c>
      <c r="B13" s="276">
        <v>0.35170000000000001</v>
      </c>
      <c r="C13" s="276">
        <v>7.0300000000000001E-2</v>
      </c>
      <c r="D13" s="276">
        <v>0.1439</v>
      </c>
      <c r="E13" s="276">
        <v>4.6699999999999998E-2</v>
      </c>
      <c r="F13" s="276">
        <v>5.8000000000000003E-2</v>
      </c>
      <c r="G13" s="276">
        <v>2.4E-2</v>
      </c>
      <c r="H13" s="276">
        <v>8.8000000000000005E-3</v>
      </c>
    </row>
    <row r="14" spans="1:8" ht="13.5" thickBot="1">
      <c r="A14" s="273"/>
      <c r="B14" s="274"/>
      <c r="C14" s="278"/>
      <c r="D14" s="274"/>
      <c r="E14" s="274"/>
      <c r="F14" s="274"/>
      <c r="G14" s="274"/>
      <c r="H14" s="274"/>
    </row>
    <row r="15" spans="1:8">
      <c r="A15" s="254" t="s">
        <v>749</v>
      </c>
      <c r="B15" s="254" t="s">
        <v>100</v>
      </c>
      <c r="C15" s="254" t="s">
        <v>437</v>
      </c>
      <c r="D15" s="254" t="s">
        <v>438</v>
      </c>
      <c r="E15" s="254" t="s">
        <v>439</v>
      </c>
      <c r="F15" s="254" t="s">
        <v>440</v>
      </c>
      <c r="G15" s="254" t="s">
        <v>441</v>
      </c>
      <c r="H15" s="320" t="s">
        <v>442</v>
      </c>
    </row>
    <row r="16" spans="1:8">
      <c r="A16" s="145"/>
      <c r="B16" s="145"/>
      <c r="C16" s="145"/>
      <c r="D16" s="145"/>
      <c r="E16" s="145"/>
      <c r="F16" s="145"/>
      <c r="G16" s="145"/>
      <c r="H16" s="17"/>
    </row>
    <row r="17" spans="1:8">
      <c r="A17" s="121" t="s">
        <v>100</v>
      </c>
      <c r="B17" s="258">
        <v>1</v>
      </c>
      <c r="C17" s="258">
        <v>0.23350000000000001</v>
      </c>
      <c r="D17" s="258">
        <v>0.35589999999999999</v>
      </c>
      <c r="E17" s="258">
        <v>0.16089999999999999</v>
      </c>
      <c r="F17" s="258">
        <v>0.16389999999999999</v>
      </c>
      <c r="G17" s="258">
        <v>6.5799999999999997E-2</v>
      </c>
      <c r="H17" s="258">
        <v>2.01E-2</v>
      </c>
    </row>
    <row r="18" spans="1:8">
      <c r="A18" s="121" t="s">
        <v>99</v>
      </c>
      <c r="B18" s="258">
        <v>0</v>
      </c>
      <c r="C18" s="258">
        <v>0</v>
      </c>
      <c r="D18" s="258">
        <v>0</v>
      </c>
      <c r="E18" s="258">
        <v>0</v>
      </c>
      <c r="F18" s="258">
        <v>0</v>
      </c>
      <c r="G18" s="258">
        <v>0</v>
      </c>
      <c r="H18" s="258">
        <v>0</v>
      </c>
    </row>
    <row r="19" spans="1:8">
      <c r="A19" s="121" t="s">
        <v>560</v>
      </c>
      <c r="B19" s="258">
        <v>4.7000000000000002E-3</v>
      </c>
      <c r="C19" s="258">
        <v>2E-3</v>
      </c>
      <c r="D19" s="258">
        <v>1.2999999999999999E-3</v>
      </c>
      <c r="E19" s="258">
        <v>5.9999999999999995E-4</v>
      </c>
      <c r="F19" s="258">
        <v>5.0000000000000001E-4</v>
      </c>
      <c r="G19" s="258">
        <v>2.0000000000000001E-4</v>
      </c>
      <c r="H19" s="258">
        <v>1E-4</v>
      </c>
    </row>
    <row r="20" spans="1:8">
      <c r="A20" s="121" t="s">
        <v>561</v>
      </c>
      <c r="B20" s="258">
        <v>9.3700000000000006E-2</v>
      </c>
      <c r="C20" s="258">
        <v>3.6200000000000003E-2</v>
      </c>
      <c r="D20" s="339">
        <v>2.7E-2</v>
      </c>
      <c r="E20" s="258">
        <v>1.41E-2</v>
      </c>
      <c r="F20" s="258">
        <v>1.1900000000000001E-2</v>
      </c>
      <c r="G20" s="258">
        <v>3.5999999999999999E-3</v>
      </c>
      <c r="H20" s="258">
        <v>8.0000000000000004E-4</v>
      </c>
    </row>
    <row r="21" spans="1:8">
      <c r="A21" s="121" t="s">
        <v>562</v>
      </c>
      <c r="B21" s="258">
        <v>0.13100000000000001</v>
      </c>
      <c r="C21" s="258">
        <v>3.44E-2</v>
      </c>
      <c r="D21" s="258">
        <v>4.7500000000000001E-2</v>
      </c>
      <c r="E21" s="258">
        <v>2.2200000000000001E-2</v>
      </c>
      <c r="F21" s="258">
        <v>2.01E-2</v>
      </c>
      <c r="G21" s="258">
        <v>5.4999999999999997E-3</v>
      </c>
      <c r="H21" s="258">
        <v>1.1999999999999999E-3</v>
      </c>
    </row>
    <row r="22" spans="1:8">
      <c r="A22" s="121" t="s">
        <v>548</v>
      </c>
      <c r="B22" s="258">
        <v>0.30709999999999998</v>
      </c>
      <c r="C22" s="258">
        <v>6.6699999999999995E-2</v>
      </c>
      <c r="D22" s="258">
        <v>0.1111</v>
      </c>
      <c r="E22" s="258">
        <v>5.0700000000000002E-2</v>
      </c>
      <c r="F22" s="258">
        <v>5.5300000000000002E-2</v>
      </c>
      <c r="G22" s="258">
        <v>1.67E-2</v>
      </c>
      <c r="H22" s="258">
        <v>6.4999999999999997E-3</v>
      </c>
    </row>
    <row r="23" spans="1:8">
      <c r="A23" s="121" t="s">
        <v>377</v>
      </c>
      <c r="B23" s="258">
        <v>0.11559999999999999</v>
      </c>
      <c r="C23" s="258">
        <v>2.5700000000000001E-2</v>
      </c>
      <c r="D23" s="258">
        <v>4.0899999999999999E-2</v>
      </c>
      <c r="E23" s="258">
        <v>0.02</v>
      </c>
      <c r="F23" s="258">
        <v>1.83E-2</v>
      </c>
      <c r="G23" s="258">
        <v>8.3000000000000001E-3</v>
      </c>
      <c r="H23" s="258">
        <v>2.3999999999999998E-3</v>
      </c>
    </row>
    <row r="24" spans="1:8" ht="13.5" thickBot="1">
      <c r="A24" s="162" t="s">
        <v>563</v>
      </c>
      <c r="B24" s="276">
        <v>0.34810000000000002</v>
      </c>
      <c r="C24" s="276">
        <v>6.8400000000000002E-2</v>
      </c>
      <c r="D24" s="276">
        <v>0.12809999999999999</v>
      </c>
      <c r="E24" s="276">
        <v>5.33E-2</v>
      </c>
      <c r="F24" s="276">
        <v>5.7700000000000001E-2</v>
      </c>
      <c r="G24" s="276">
        <v>3.15E-2</v>
      </c>
      <c r="H24" s="276">
        <v>9.1000000000000004E-3</v>
      </c>
    </row>
    <row r="25" spans="1:8">
      <c r="B25" s="46"/>
      <c r="C25" s="46"/>
      <c r="D25" s="46"/>
      <c r="E25" s="46"/>
      <c r="F25" s="46"/>
    </row>
    <row r="26" spans="1:8">
      <c r="A26" s="338" t="s">
        <v>509</v>
      </c>
    </row>
    <row r="27" spans="1:8" ht="51.75" customHeight="1">
      <c r="A27" s="391" t="s">
        <v>767</v>
      </c>
      <c r="B27" s="395"/>
      <c r="C27" s="395"/>
      <c r="D27" s="395"/>
      <c r="E27" s="395"/>
      <c r="F27" s="395"/>
      <c r="G27" s="395"/>
      <c r="H27" s="397"/>
    </row>
    <row r="29" spans="1:8">
      <c r="A29" s="1" t="s">
        <v>184</v>
      </c>
    </row>
    <row r="30" spans="1:8">
      <c r="A30" t="s">
        <v>197</v>
      </c>
    </row>
  </sheetData>
  <mergeCells count="2">
    <mergeCell ref="A1:H1"/>
    <mergeCell ref="A27:H27"/>
  </mergeCells>
  <pageMargins left="0.7" right="0.7" top="0.78740157499999996" bottom="0.78740157499999996"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3"/>
  <sheetViews>
    <sheetView workbookViewId="0">
      <selection activeCell="C25" sqref="C25:C26"/>
    </sheetView>
  </sheetViews>
  <sheetFormatPr baseColWidth="10" defaultRowHeight="12.75"/>
  <sheetData>
    <row r="3" spans="1:1" ht="15">
      <c r="A3" s="90" t="s">
        <v>706</v>
      </c>
    </row>
  </sheetData>
  <pageMargins left="0.7" right="0.7" top="0.78740157499999996" bottom="0.78740157499999996" header="0.3" footer="0.3"/>
  <pageSetup paperSize="9"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32"/>
  <sheetViews>
    <sheetView zoomScaleNormal="100" workbookViewId="0">
      <selection activeCell="F30" sqref="F30"/>
    </sheetView>
  </sheetViews>
  <sheetFormatPr baseColWidth="10" defaultRowHeight="12.75"/>
  <cols>
    <col min="1" max="1" width="18.28515625" style="10" customWidth="1"/>
    <col min="2" max="2" width="16.85546875" customWidth="1"/>
    <col min="3" max="3" width="8.85546875" customWidth="1"/>
    <col min="4" max="4" width="16.85546875" customWidth="1"/>
    <col min="5" max="5" width="8.85546875" customWidth="1"/>
  </cols>
  <sheetData>
    <row r="1" spans="1:7" ht="15">
      <c r="A1" s="399" t="s">
        <v>312</v>
      </c>
      <c r="B1" s="399"/>
      <c r="C1" s="399"/>
      <c r="D1" s="399"/>
      <c r="E1" s="399"/>
    </row>
    <row r="2" spans="1:7">
      <c r="A2" s="400" t="s">
        <v>313</v>
      </c>
      <c r="B2" s="400"/>
      <c r="C2" s="400"/>
      <c r="D2" s="400"/>
      <c r="E2" s="94" t="s">
        <v>355</v>
      </c>
    </row>
    <row r="3" spans="1:7" ht="13.5" thickBot="1">
      <c r="A3" s="280"/>
      <c r="B3" s="17"/>
      <c r="C3" s="17"/>
      <c r="D3" s="17"/>
      <c r="E3" s="17"/>
    </row>
    <row r="4" spans="1:7">
      <c r="A4" s="140" t="s">
        <v>265</v>
      </c>
      <c r="B4" s="140" t="s">
        <v>74</v>
      </c>
      <c r="C4" s="282" t="s">
        <v>295</v>
      </c>
      <c r="D4" s="140" t="s">
        <v>75</v>
      </c>
      <c r="E4" s="282" t="s">
        <v>295</v>
      </c>
    </row>
    <row r="5" spans="1:7">
      <c r="A5" s="122"/>
      <c r="B5" s="17"/>
      <c r="C5" s="17"/>
      <c r="D5" s="17"/>
      <c r="E5" s="17"/>
    </row>
    <row r="6" spans="1:7">
      <c r="A6" s="233">
        <v>1998</v>
      </c>
      <c r="B6" s="87">
        <v>746924027.28999996</v>
      </c>
      <c r="C6" s="86" t="s">
        <v>116</v>
      </c>
      <c r="D6" s="87">
        <v>562328583.47000003</v>
      </c>
      <c r="E6" s="88" t="s">
        <v>116</v>
      </c>
      <c r="G6" s="3"/>
    </row>
    <row r="7" spans="1:7">
      <c r="A7" s="233">
        <v>1999</v>
      </c>
      <c r="B7" s="87">
        <v>830660317.61000001</v>
      </c>
      <c r="C7" s="134">
        <f>B7/B6-1</f>
        <v>0.11210817601331313</v>
      </c>
      <c r="D7" s="87">
        <v>615730383.47000003</v>
      </c>
      <c r="E7" s="134">
        <f>D7/D6-1</f>
        <v>9.4965473158895364E-2</v>
      </c>
    </row>
    <row r="8" spans="1:7">
      <c r="A8" s="233">
        <v>2000</v>
      </c>
      <c r="B8" s="87">
        <v>959568085.96000004</v>
      </c>
      <c r="C8" s="134">
        <f t="shared" ref="C8:E13" si="0">B8/B7-1</f>
        <v>0.15518710309997386</v>
      </c>
      <c r="D8" s="87">
        <v>739841260.49000001</v>
      </c>
      <c r="E8" s="134">
        <f t="shared" si="0"/>
        <v>0.20156692011942434</v>
      </c>
    </row>
    <row r="9" spans="1:7">
      <c r="A9" s="233">
        <v>2001</v>
      </c>
      <c r="B9" s="87">
        <v>992902212.32000005</v>
      </c>
      <c r="C9" s="134">
        <f t="shared" si="0"/>
        <v>3.4738677586021227E-2</v>
      </c>
      <c r="D9" s="87">
        <v>759121100.25</v>
      </c>
      <c r="E9" s="134">
        <f t="shared" si="0"/>
        <v>2.6059427595631623E-2</v>
      </c>
    </row>
    <row r="10" spans="1:7">
      <c r="A10" s="233">
        <v>2002</v>
      </c>
      <c r="B10" s="87">
        <v>958386160.88999999</v>
      </c>
      <c r="C10" s="134">
        <f t="shared" si="0"/>
        <v>-3.476279033496199E-2</v>
      </c>
      <c r="D10" s="87">
        <v>715659415.90999997</v>
      </c>
      <c r="E10" s="134">
        <f t="shared" si="0"/>
        <v>-5.7252636405030644E-2</v>
      </c>
    </row>
    <row r="11" spans="1:7">
      <c r="A11" s="233">
        <v>2003</v>
      </c>
      <c r="B11" s="87">
        <v>912643257.96000004</v>
      </c>
      <c r="C11" s="134">
        <f t="shared" si="0"/>
        <v>-4.7729093758533625E-2</v>
      </c>
      <c r="D11" s="87">
        <v>674841511.58000004</v>
      </c>
      <c r="E11" s="134">
        <f t="shared" si="0"/>
        <v>-5.7035376636661361E-2</v>
      </c>
    </row>
    <row r="12" spans="1:7">
      <c r="A12" s="233">
        <v>2004</v>
      </c>
      <c r="B12" s="87">
        <v>909393559.36000001</v>
      </c>
      <c r="C12" s="134">
        <f t="shared" si="0"/>
        <v>-3.5607545135039054E-3</v>
      </c>
      <c r="D12" s="87">
        <v>664652375.20000005</v>
      </c>
      <c r="E12" s="134">
        <f t="shared" si="0"/>
        <v>-1.5098561966267132E-2</v>
      </c>
    </row>
    <row r="13" spans="1:7">
      <c r="A13" s="233">
        <v>2005</v>
      </c>
      <c r="B13" s="87">
        <v>972131189.87</v>
      </c>
      <c r="C13" s="134">
        <f t="shared" si="0"/>
        <v>6.8988426258651536E-2</v>
      </c>
      <c r="D13" s="87">
        <v>714034680.96000004</v>
      </c>
      <c r="E13" s="134">
        <f t="shared" si="0"/>
        <v>7.4297945215557881E-2</v>
      </c>
    </row>
    <row r="14" spans="1:7">
      <c r="A14" s="233">
        <v>2006</v>
      </c>
      <c r="B14" s="87">
        <v>1051820319.6</v>
      </c>
      <c r="C14" s="134">
        <f t="shared" ref="C14:C20" si="1">B14/B13-1</f>
        <v>8.197363746826869E-2</v>
      </c>
      <c r="D14" s="87">
        <v>771294544.29999995</v>
      </c>
      <c r="E14" s="134">
        <f t="shared" ref="E14:E20" si="2">D14/D13-1</f>
        <v>8.0191991883385327E-2</v>
      </c>
    </row>
    <row r="15" spans="1:7">
      <c r="A15" s="233">
        <v>2007</v>
      </c>
      <c r="B15" s="87">
        <v>1155002987.5799999</v>
      </c>
      <c r="C15" s="134">
        <f t="shared" si="1"/>
        <v>9.8099139232487476E-2</v>
      </c>
      <c r="D15" s="87">
        <v>857993279.75</v>
      </c>
      <c r="E15" s="134">
        <f t="shared" si="2"/>
        <v>0.11240677908422758</v>
      </c>
    </row>
    <row r="16" spans="1:7">
      <c r="A16" s="233">
        <v>2008</v>
      </c>
      <c r="B16" s="87">
        <v>1223908505.1800001</v>
      </c>
      <c r="C16" s="134">
        <f t="shared" si="1"/>
        <v>5.965830248142745E-2</v>
      </c>
      <c r="D16" s="87">
        <v>911134487.95000005</v>
      </c>
      <c r="E16" s="134">
        <f t="shared" si="2"/>
        <v>6.193662520933052E-2</v>
      </c>
    </row>
    <row r="17" spans="1:7">
      <c r="A17" s="233">
        <v>2009</v>
      </c>
      <c r="B17" s="87">
        <v>1150140043.75</v>
      </c>
      <c r="C17" s="134">
        <f t="shared" si="1"/>
        <v>-6.027285627788892E-2</v>
      </c>
      <c r="D17" s="87">
        <v>820885569.96000004</v>
      </c>
      <c r="E17" s="134">
        <f t="shared" si="2"/>
        <v>-9.9051149071368028E-2</v>
      </c>
    </row>
    <row r="18" spans="1:7">
      <c r="A18" s="233">
        <v>2010</v>
      </c>
      <c r="B18" s="283">
        <v>1164732042.49</v>
      </c>
      <c r="C18" s="134">
        <f t="shared" si="1"/>
        <v>1.2687149551304344E-2</v>
      </c>
      <c r="D18" s="87">
        <v>840475760.60000002</v>
      </c>
      <c r="E18" s="134">
        <f t="shared" si="2"/>
        <v>2.386470338485136E-2</v>
      </c>
    </row>
    <row r="19" spans="1:7">
      <c r="A19" s="233">
        <v>2011</v>
      </c>
      <c r="B19" s="283">
        <v>1146861068.75</v>
      </c>
      <c r="C19" s="134">
        <f t="shared" si="1"/>
        <v>-1.5343420707989552E-2</v>
      </c>
      <c r="D19" s="87">
        <v>815899037.83000004</v>
      </c>
      <c r="E19" s="134">
        <f t="shared" si="2"/>
        <v>-2.924144148125718E-2</v>
      </c>
    </row>
    <row r="20" spans="1:7">
      <c r="A20" s="233">
        <v>2012</v>
      </c>
      <c r="B20" s="283">
        <v>1242170897.1199999</v>
      </c>
      <c r="C20" s="134">
        <f t="shared" si="1"/>
        <v>8.31049470306644E-2</v>
      </c>
      <c r="D20" s="87">
        <v>899169033.17999995</v>
      </c>
      <c r="E20" s="134">
        <f t="shared" si="2"/>
        <v>0.10205919052370538</v>
      </c>
    </row>
    <row r="21" spans="1:7">
      <c r="A21" s="233">
        <v>2013</v>
      </c>
      <c r="B21" s="283">
        <v>1007572731.6900001</v>
      </c>
      <c r="C21" s="134">
        <f t="shared" ref="C21:C26" si="3">B21/B20-1</f>
        <v>-0.1888614247636301</v>
      </c>
      <c r="D21" s="87">
        <v>658248191.23000002</v>
      </c>
      <c r="E21" s="134">
        <f t="shared" ref="E21:E26" si="4">D21/D20-1</f>
        <v>-0.26793720986804848</v>
      </c>
    </row>
    <row r="22" spans="1:7">
      <c r="A22" s="233">
        <v>2014</v>
      </c>
      <c r="B22" s="283">
        <v>1143365457.03</v>
      </c>
      <c r="C22" s="134">
        <f t="shared" si="3"/>
        <v>0.13477213214398431</v>
      </c>
      <c r="D22" s="87">
        <v>780375694.32000005</v>
      </c>
      <c r="E22" s="134">
        <f t="shared" si="4"/>
        <v>0.18553412636317779</v>
      </c>
    </row>
    <row r="23" spans="1:7">
      <c r="A23" s="233">
        <v>2015</v>
      </c>
      <c r="B23" s="283">
        <v>1232369915.3800001</v>
      </c>
      <c r="C23" s="134">
        <f t="shared" si="3"/>
        <v>7.7844277875245282E-2</v>
      </c>
      <c r="D23" s="87">
        <v>867474114.66999996</v>
      </c>
      <c r="E23" s="134">
        <f t="shared" si="4"/>
        <v>0.11161088304511502</v>
      </c>
    </row>
    <row r="24" spans="1:7">
      <c r="A24" s="233">
        <v>2016</v>
      </c>
      <c r="B24" s="283">
        <v>1226334869.8499999</v>
      </c>
      <c r="C24" s="134">
        <f t="shared" si="3"/>
        <v>-4.8971055319371182E-3</v>
      </c>
      <c r="D24" s="87">
        <v>851982812</v>
      </c>
      <c r="E24" s="134">
        <f t="shared" si="4"/>
        <v>-1.7857942280955608E-2</v>
      </c>
      <c r="G24" s="3"/>
    </row>
    <row r="25" spans="1:7">
      <c r="A25" s="233">
        <v>2017</v>
      </c>
      <c r="B25" s="283">
        <v>1232614095.8599999</v>
      </c>
      <c r="C25" s="134">
        <f t="shared" si="3"/>
        <v>5.1203192246893625E-3</v>
      </c>
      <c r="D25" s="87">
        <v>860991956.5</v>
      </c>
      <c r="E25" s="134">
        <f t="shared" si="4"/>
        <v>1.0574326586297422E-2</v>
      </c>
      <c r="G25" s="3"/>
    </row>
    <row r="26" spans="1:7">
      <c r="A26" s="233">
        <v>2018</v>
      </c>
      <c r="B26" s="283">
        <v>1301116090.9200001</v>
      </c>
      <c r="C26" s="134">
        <f t="shared" si="3"/>
        <v>5.5574567328151581E-2</v>
      </c>
      <c r="D26" s="87">
        <v>909821749</v>
      </c>
      <c r="E26" s="134">
        <f t="shared" si="4"/>
        <v>5.6713413094469534E-2</v>
      </c>
      <c r="G26" s="3"/>
    </row>
    <row r="27" spans="1:7">
      <c r="A27" s="233">
        <v>2019</v>
      </c>
      <c r="B27" s="283">
        <v>1374861190.29</v>
      </c>
      <c r="C27" s="134">
        <f>B27/B26-1</f>
        <v>5.6678339376969644E-2</v>
      </c>
      <c r="D27" s="87">
        <v>957943208.98000002</v>
      </c>
      <c r="E27" s="134">
        <f>D27/D26-1</f>
        <v>5.2891085570213159E-2</v>
      </c>
      <c r="G27" s="3"/>
    </row>
    <row r="28" spans="1:7">
      <c r="A28" s="233">
        <v>2020</v>
      </c>
      <c r="B28" s="283">
        <v>1692399099.23</v>
      </c>
      <c r="C28" s="134">
        <f>B28/B27-1</f>
        <v>0.23095997703813409</v>
      </c>
      <c r="D28" s="87">
        <v>1271287848.71</v>
      </c>
      <c r="E28" s="134">
        <f>D28/D27-1</f>
        <v>0.32710147824279012</v>
      </c>
      <c r="G28" s="3"/>
    </row>
    <row r="29" spans="1:7">
      <c r="A29" s="233"/>
      <c r="B29" s="17"/>
      <c r="C29" s="17"/>
      <c r="D29" s="17"/>
      <c r="E29" s="17"/>
    </row>
    <row r="30" spans="1:7" ht="13.5" thickBot="1">
      <c r="A30" s="281" t="s">
        <v>104</v>
      </c>
      <c r="B30" s="104"/>
      <c r="C30" s="112">
        <f>(B28/B6)^(1/22)-1</f>
        <v>3.787882746367921E-2</v>
      </c>
      <c r="D30" s="104"/>
      <c r="E30" s="112">
        <f>(D28/D6)^(1/22)-1</f>
        <v>3.7773179711237059E-2</v>
      </c>
    </row>
    <row r="31" spans="1:7">
      <c r="A31" s="233"/>
      <c r="B31" s="17"/>
      <c r="C31" s="17"/>
      <c r="D31" s="17"/>
      <c r="E31" s="17"/>
    </row>
    <row r="32" spans="1:7">
      <c r="A32" s="233"/>
      <c r="B32" s="17"/>
      <c r="C32" s="17"/>
      <c r="D32" s="17"/>
      <c r="E32" s="17"/>
    </row>
  </sheetData>
  <customSheetViews>
    <customSheetView guid="{9E4C61FA-E6D1-438A-8921-8C22C886D6BA}" showRuler="0">
      <selection activeCell="A52" sqref="A52"/>
      <pageMargins left="0.78740157499999996" right="0.66" top="0.984251969" bottom="0.984251969" header="0.4921259845" footer="0.4921259845"/>
      <pageSetup paperSize="9" orientation="portrait" r:id="rId1"/>
      <headerFooter alignWithMargins="0"/>
    </customSheetView>
  </customSheetViews>
  <mergeCells count="2">
    <mergeCell ref="A1:E1"/>
    <mergeCell ref="A2:D2"/>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5"/>
  <sheetViews>
    <sheetView zoomScaleNormal="100" workbookViewId="0">
      <selection activeCell="F36" sqref="F36"/>
    </sheetView>
  </sheetViews>
  <sheetFormatPr baseColWidth="10" defaultRowHeight="12.75"/>
  <cols>
    <col min="1" max="1" width="10.7109375" style="10" customWidth="1"/>
    <col min="2" max="2" width="16.42578125" customWidth="1"/>
    <col min="3" max="3" width="8.28515625" customWidth="1"/>
    <col min="4" max="4" width="14.140625" customWidth="1"/>
    <col min="5" max="5" width="7.42578125" customWidth="1"/>
    <col min="6" max="6" width="14.5703125" customWidth="1"/>
    <col min="7" max="7" width="8.42578125" customWidth="1"/>
  </cols>
  <sheetData>
    <row r="1" spans="1:7" ht="15">
      <c r="A1" s="360" t="s">
        <v>330</v>
      </c>
      <c r="B1" s="360"/>
      <c r="C1" s="360"/>
      <c r="D1" s="360"/>
      <c r="E1" s="360"/>
      <c r="F1" s="360"/>
      <c r="G1" s="360"/>
    </row>
    <row r="2" spans="1:7">
      <c r="A2" s="387" t="s">
        <v>313</v>
      </c>
      <c r="B2" s="387"/>
      <c r="G2" s="2" t="s">
        <v>356</v>
      </c>
    </row>
    <row r="3" spans="1:7" ht="13.5" thickBot="1">
      <c r="A3" s="66"/>
    </row>
    <row r="4" spans="1:7" ht="25.5">
      <c r="A4" s="285" t="s">
        <v>265</v>
      </c>
      <c r="B4" s="285" t="s">
        <v>266</v>
      </c>
      <c r="C4" s="282" t="s">
        <v>295</v>
      </c>
      <c r="D4" s="286" t="s">
        <v>51</v>
      </c>
      <c r="E4" s="282" t="s">
        <v>295</v>
      </c>
      <c r="F4" s="286" t="s">
        <v>4</v>
      </c>
      <c r="G4" s="282" t="s">
        <v>295</v>
      </c>
    </row>
    <row r="5" spans="1:7">
      <c r="A5" s="122"/>
      <c r="B5" s="17"/>
      <c r="C5" s="17"/>
      <c r="D5" s="17"/>
      <c r="E5" s="17"/>
      <c r="F5" s="122"/>
      <c r="G5" s="17"/>
    </row>
    <row r="6" spans="1:7">
      <c r="A6" s="233">
        <v>1990</v>
      </c>
      <c r="B6" s="59">
        <v>62173362.450000003</v>
      </c>
      <c r="C6" s="18">
        <v>-2E-3</v>
      </c>
      <c r="D6" s="59">
        <v>37299895.399999999</v>
      </c>
      <c r="E6" s="18">
        <v>0.13900000000000001</v>
      </c>
      <c r="F6" s="59">
        <v>20242276.199999999</v>
      </c>
      <c r="G6" s="18">
        <v>0.105</v>
      </c>
    </row>
    <row r="7" spans="1:7" s="5" customFormat="1">
      <c r="A7" s="239">
        <v>1991</v>
      </c>
      <c r="B7" s="283">
        <v>66616745.5</v>
      </c>
      <c r="C7" s="18">
        <f t="shared" ref="C7:G23" si="0">B7/B6-1</f>
        <v>7.1467633000762643E-2</v>
      </c>
      <c r="D7" s="283">
        <v>36006364.75</v>
      </c>
      <c r="E7" s="18">
        <f t="shared" si="0"/>
        <v>-3.4679203148650029E-2</v>
      </c>
      <c r="F7" s="283">
        <v>25623417.969999999</v>
      </c>
      <c r="G7" s="18">
        <f t="shared" si="0"/>
        <v>0.26583679210937738</v>
      </c>
    </row>
    <row r="8" spans="1:7">
      <c r="A8" s="233">
        <v>1992</v>
      </c>
      <c r="B8" s="59">
        <v>71964877.75</v>
      </c>
      <c r="C8" s="18">
        <f t="shared" si="0"/>
        <v>8.0282100391710021E-2</v>
      </c>
      <c r="D8" s="59">
        <v>43302937.549999997</v>
      </c>
      <c r="E8" s="18">
        <f t="shared" si="0"/>
        <v>0.20264675011381139</v>
      </c>
      <c r="F8" s="59">
        <v>27698725.219999999</v>
      </c>
      <c r="G8" s="18">
        <f t="shared" si="0"/>
        <v>8.0992600301403206E-2</v>
      </c>
    </row>
    <row r="9" spans="1:7">
      <c r="A9" s="233">
        <v>1993</v>
      </c>
      <c r="B9" s="59">
        <v>76008379.950000003</v>
      </c>
      <c r="C9" s="18">
        <f t="shared" si="0"/>
        <v>5.6187161382345252E-2</v>
      </c>
      <c r="D9" s="59">
        <v>43296272.649999999</v>
      </c>
      <c r="E9" s="18">
        <f t="shared" si="0"/>
        <v>-1.5391334577019578E-4</v>
      </c>
      <c r="F9" s="59">
        <v>24795963.309999999</v>
      </c>
      <c r="G9" s="18">
        <f t="shared" si="0"/>
        <v>-0.10479767162367626</v>
      </c>
    </row>
    <row r="10" spans="1:7">
      <c r="A10" s="233">
        <v>1994</v>
      </c>
      <c r="B10" s="60">
        <v>83596970.950000003</v>
      </c>
      <c r="C10" s="18">
        <f t="shared" si="0"/>
        <v>9.9838873095202674E-2</v>
      </c>
      <c r="D10" s="60">
        <v>59702705.799999997</v>
      </c>
      <c r="E10" s="18">
        <f t="shared" si="0"/>
        <v>0.37893407782759803</v>
      </c>
      <c r="F10" s="283">
        <v>26849634.120000001</v>
      </c>
      <c r="G10" s="18">
        <f t="shared" si="0"/>
        <v>8.2822787899987427E-2</v>
      </c>
    </row>
    <row r="11" spans="1:7">
      <c r="A11" s="233">
        <v>1995</v>
      </c>
      <c r="B11" s="60">
        <v>86509399.450000003</v>
      </c>
      <c r="C11" s="18">
        <f t="shared" si="0"/>
        <v>3.4838923789977327E-2</v>
      </c>
      <c r="D11" s="60">
        <v>69000786.379999995</v>
      </c>
      <c r="E11" s="18">
        <f t="shared" si="0"/>
        <v>0.15573968474976563</v>
      </c>
      <c r="F11" s="60">
        <v>24494291.66</v>
      </c>
      <c r="G11" s="18">
        <f t="shared" si="0"/>
        <v>-8.7723447160329537E-2</v>
      </c>
    </row>
    <row r="12" spans="1:7">
      <c r="A12" s="233">
        <v>1996</v>
      </c>
      <c r="B12" s="60">
        <v>93601013.060000002</v>
      </c>
      <c r="C12" s="18">
        <f t="shared" si="0"/>
        <v>8.197506461825288E-2</v>
      </c>
      <c r="D12" s="60">
        <v>70753592.299999997</v>
      </c>
      <c r="E12" s="18">
        <f t="shared" si="0"/>
        <v>2.5402694838098983E-2</v>
      </c>
      <c r="F12" s="60">
        <v>23729241.27</v>
      </c>
      <c r="G12" s="18">
        <f t="shared" si="0"/>
        <v>-3.1233823807583438E-2</v>
      </c>
    </row>
    <row r="13" spans="1:7">
      <c r="A13" s="233">
        <v>1997</v>
      </c>
      <c r="B13" s="283">
        <v>95046898.650000006</v>
      </c>
      <c r="C13" s="18">
        <f t="shared" si="0"/>
        <v>1.5447328428733531E-2</v>
      </c>
      <c r="D13" s="283">
        <v>74219418.340000004</v>
      </c>
      <c r="E13" s="18">
        <f t="shared" si="0"/>
        <v>4.8984453330718214E-2</v>
      </c>
      <c r="F13" s="283">
        <v>26687030.899999999</v>
      </c>
      <c r="G13" s="18">
        <f t="shared" si="0"/>
        <v>0.12464745907149677</v>
      </c>
    </row>
    <row r="14" spans="1:7">
      <c r="A14" s="233">
        <v>1998</v>
      </c>
      <c r="B14" s="60">
        <v>102164064.45</v>
      </c>
      <c r="C14" s="18">
        <f>B14/B13-1</f>
        <v>7.4880568446616946E-2</v>
      </c>
      <c r="D14" s="60">
        <v>86008162.25</v>
      </c>
      <c r="E14" s="18">
        <f t="shared" si="0"/>
        <v>0.15883638236014774</v>
      </c>
      <c r="F14" s="283">
        <v>34316489.369999997</v>
      </c>
      <c r="G14" s="18">
        <f t="shared" si="0"/>
        <v>0.28588637299475672</v>
      </c>
    </row>
    <row r="15" spans="1:7">
      <c r="A15" s="233">
        <v>1999</v>
      </c>
      <c r="B15" s="60">
        <v>114040241.45</v>
      </c>
      <c r="C15" s="18">
        <f t="shared" si="0"/>
        <v>0.11624612885103369</v>
      </c>
      <c r="D15" s="60">
        <v>106360476.58</v>
      </c>
      <c r="E15" s="18">
        <f t="shared" si="0"/>
        <v>0.23663235904101643</v>
      </c>
      <c r="F15" s="283">
        <v>30315934.600000001</v>
      </c>
      <c r="G15" s="18">
        <f t="shared" si="0"/>
        <v>-0.11657820608821778</v>
      </c>
    </row>
    <row r="16" spans="1:7">
      <c r="A16" s="233">
        <v>2000</v>
      </c>
      <c r="B16" s="60">
        <v>108229813.8</v>
      </c>
      <c r="C16" s="18">
        <f t="shared" si="0"/>
        <v>-5.0950678252882686E-2</v>
      </c>
      <c r="D16" s="60">
        <v>131122855.84999999</v>
      </c>
      <c r="E16" s="18">
        <f t="shared" si="0"/>
        <v>0.23281561033035381</v>
      </c>
      <c r="F16" s="283">
        <v>56779418.079999998</v>
      </c>
      <c r="G16" s="18">
        <f t="shared" si="0"/>
        <v>0.87292322764147912</v>
      </c>
    </row>
    <row r="17" spans="1:7">
      <c r="A17" s="233">
        <v>2001</v>
      </c>
      <c r="B17" s="60">
        <v>115754081.37</v>
      </c>
      <c r="C17" s="18">
        <f t="shared" si="0"/>
        <v>6.952120959853314E-2</v>
      </c>
      <c r="D17" s="60">
        <v>187829891.41</v>
      </c>
      <c r="E17" s="18">
        <f t="shared" si="0"/>
        <v>0.43247254792002776</v>
      </c>
      <c r="F17" s="283">
        <v>42893607.270000003</v>
      </c>
      <c r="G17" s="18">
        <f t="shared" si="0"/>
        <v>-0.24455711734198171</v>
      </c>
    </row>
    <row r="18" spans="1:7">
      <c r="A18" s="233">
        <v>2002</v>
      </c>
      <c r="B18" s="60">
        <v>118137043.09999999</v>
      </c>
      <c r="C18" s="18">
        <f t="shared" si="0"/>
        <v>2.0586416494317916E-2</v>
      </c>
      <c r="D18" s="60">
        <v>135709030.47999999</v>
      </c>
      <c r="E18" s="18">
        <f t="shared" si="0"/>
        <v>-0.27748970378856919</v>
      </c>
      <c r="F18" s="283">
        <v>58551631.810000002</v>
      </c>
      <c r="G18" s="18">
        <f t="shared" si="0"/>
        <v>0.36504331383085376</v>
      </c>
    </row>
    <row r="19" spans="1:7">
      <c r="A19" s="233">
        <v>2003</v>
      </c>
      <c r="B19" s="60">
        <v>118161894.25</v>
      </c>
      <c r="C19" s="18">
        <f t="shared" si="0"/>
        <v>2.1035865929852626E-4</v>
      </c>
      <c r="D19" s="60">
        <v>106395077.45999999</v>
      </c>
      <c r="E19" s="18">
        <f t="shared" si="0"/>
        <v>-0.21600591291763827</v>
      </c>
      <c r="F19" s="283">
        <v>74934232.560000002</v>
      </c>
      <c r="G19" s="18">
        <f t="shared" si="0"/>
        <v>0.27979750937021741</v>
      </c>
    </row>
    <row r="20" spans="1:7">
      <c r="A20" s="233">
        <v>2004</v>
      </c>
      <c r="B20" s="60">
        <v>117357575.84999999</v>
      </c>
      <c r="C20" s="18">
        <f t="shared" si="0"/>
        <v>-6.8069186357005984E-3</v>
      </c>
      <c r="D20" s="60">
        <v>123371679.39</v>
      </c>
      <c r="E20" s="18">
        <f t="shared" si="0"/>
        <v>0.1595619114651472</v>
      </c>
      <c r="F20" s="283">
        <v>35256206.060000002</v>
      </c>
      <c r="G20" s="18">
        <f t="shared" si="0"/>
        <v>-0.52950467555972791</v>
      </c>
    </row>
    <row r="21" spans="1:7">
      <c r="A21" s="233">
        <v>2005</v>
      </c>
      <c r="B21" s="60">
        <v>127329194.34</v>
      </c>
      <c r="C21" s="18">
        <f t="shared" si="0"/>
        <v>8.4967829454360766E-2</v>
      </c>
      <c r="D21" s="60">
        <v>137251705.37</v>
      </c>
      <c r="E21" s="18">
        <f t="shared" si="0"/>
        <v>0.11250577157276709</v>
      </c>
      <c r="F21" s="283">
        <v>37622721.829999998</v>
      </c>
      <c r="G21" s="18">
        <f t="shared" si="0"/>
        <v>6.712338151111874E-2</v>
      </c>
    </row>
    <row r="22" spans="1:7">
      <c r="A22" s="233">
        <v>2006</v>
      </c>
      <c r="B22" s="60">
        <v>138737266.59999999</v>
      </c>
      <c r="C22" s="18">
        <f t="shared" si="0"/>
        <v>8.959510282879557E-2</v>
      </c>
      <c r="D22" s="60">
        <v>163584998.62</v>
      </c>
      <c r="E22" s="18">
        <f t="shared" si="0"/>
        <v>0.1918613191654801</v>
      </c>
      <c r="F22" s="283">
        <v>33965778.530000001</v>
      </c>
      <c r="G22" s="18">
        <f t="shared" si="0"/>
        <v>-9.7200391734656111E-2</v>
      </c>
    </row>
    <row r="23" spans="1:7">
      <c r="A23" s="233">
        <v>2007</v>
      </c>
      <c r="B23" s="60">
        <v>154247327.78999999</v>
      </c>
      <c r="C23" s="18">
        <f t="shared" si="0"/>
        <v>0.11179448442441786</v>
      </c>
      <c r="D23" s="60">
        <v>209204468.02000001</v>
      </c>
      <c r="E23" s="18">
        <f t="shared" si="0"/>
        <v>0.27887318387899263</v>
      </c>
      <c r="F23" s="283">
        <v>41401202.509999998</v>
      </c>
      <c r="G23" s="18">
        <f t="shared" si="0"/>
        <v>0.21890927580042718</v>
      </c>
    </row>
    <row r="24" spans="1:7">
      <c r="A24" s="233">
        <v>2008</v>
      </c>
      <c r="B24" s="60">
        <v>161057669</v>
      </c>
      <c r="C24" s="18">
        <f t="shared" ref="C24:C34" si="1">B24/B23-1</f>
        <v>4.4152085534161944E-2</v>
      </c>
      <c r="D24" s="60">
        <v>219587377</v>
      </c>
      <c r="E24" s="18">
        <f t="shared" ref="E24:E31" si="2">D24/D23-1</f>
        <v>4.9630436090912555E-2</v>
      </c>
      <c r="F24" s="283">
        <v>48155868.950000003</v>
      </c>
      <c r="G24" s="18">
        <f t="shared" ref="G24:G34" si="3">F24/F23-1</f>
        <v>0.16315145528365971</v>
      </c>
    </row>
    <row r="25" spans="1:7">
      <c r="A25" s="233">
        <v>2009</v>
      </c>
      <c r="B25" s="60">
        <v>154567333.75</v>
      </c>
      <c r="C25" s="18">
        <f t="shared" si="1"/>
        <v>-4.0298206787035995E-2</v>
      </c>
      <c r="D25" s="60">
        <v>178113116.90000001</v>
      </c>
      <c r="E25" s="18">
        <f t="shared" si="2"/>
        <v>-0.18887360770286898</v>
      </c>
      <c r="F25" s="283">
        <v>44694510.020000003</v>
      </c>
      <c r="G25" s="18">
        <f t="shared" si="3"/>
        <v>-7.1878236349424252E-2</v>
      </c>
    </row>
    <row r="26" spans="1:7">
      <c r="A26" s="233">
        <v>2010</v>
      </c>
      <c r="B26" s="60">
        <v>155123297.27000001</v>
      </c>
      <c r="C26" s="18">
        <f t="shared" si="1"/>
        <v>3.5969017936172687E-3</v>
      </c>
      <c r="D26" s="60">
        <v>179156912.19999996</v>
      </c>
      <c r="E26" s="18">
        <f t="shared" si="2"/>
        <v>5.8602943913781402E-3</v>
      </c>
      <c r="F26" s="283">
        <v>26494511.649999999</v>
      </c>
      <c r="G26" s="18">
        <f t="shared" si="3"/>
        <v>-0.40720881293599209</v>
      </c>
    </row>
    <row r="27" spans="1:7">
      <c r="A27" s="233">
        <v>2011</v>
      </c>
      <c r="B27" s="60">
        <v>161275285.75</v>
      </c>
      <c r="C27" s="18">
        <f t="shared" si="1"/>
        <v>3.9658701099501092E-2</v>
      </c>
      <c r="D27" s="60">
        <v>167140171.73999998</v>
      </c>
      <c r="E27" s="18">
        <f t="shared" si="2"/>
        <v>-6.7073831048088284E-2</v>
      </c>
      <c r="F27" s="283">
        <v>59377933</v>
      </c>
      <c r="G27" s="18">
        <f t="shared" si="3"/>
        <v>1.2411408741704437</v>
      </c>
    </row>
    <row r="28" spans="1:7">
      <c r="A28" s="233">
        <v>2012</v>
      </c>
      <c r="B28" s="60">
        <v>158257409.76999998</v>
      </c>
      <c r="C28" s="18">
        <f t="shared" si="1"/>
        <v>-1.8712575618549332E-2</v>
      </c>
      <c r="D28" s="60">
        <v>137084714.59999999</v>
      </c>
      <c r="E28" s="18">
        <f t="shared" si="2"/>
        <v>-0.1798218634521549</v>
      </c>
      <c r="F28" s="283">
        <v>170144804.05000001</v>
      </c>
      <c r="G28" s="18">
        <f t="shared" si="3"/>
        <v>1.8654551523374856</v>
      </c>
    </row>
    <row r="29" spans="1:7">
      <c r="A29" s="233">
        <v>2013</v>
      </c>
      <c r="B29" s="60">
        <v>150329077.93000004</v>
      </c>
      <c r="C29" s="18">
        <f t="shared" si="1"/>
        <v>-5.0097697488682646E-2</v>
      </c>
      <c r="D29" s="60">
        <v>118078993.22000001</v>
      </c>
      <c r="E29" s="18">
        <f t="shared" si="2"/>
        <v>-0.13864216324523737</v>
      </c>
      <c r="F29" s="283">
        <v>36590552.420000002</v>
      </c>
      <c r="G29" s="18">
        <f t="shared" si="3"/>
        <v>-0.78494463804344428</v>
      </c>
    </row>
    <row r="30" spans="1:7">
      <c r="A30" s="233">
        <v>2014</v>
      </c>
      <c r="B30" s="60">
        <v>240726406.56000003</v>
      </c>
      <c r="C30" s="18">
        <f t="shared" si="1"/>
        <v>0.60132962880337137</v>
      </c>
      <c r="D30" s="60">
        <v>186111994</v>
      </c>
      <c r="E30" s="18">
        <f t="shared" si="2"/>
        <v>0.57616514948805198</v>
      </c>
      <c r="F30" s="283">
        <v>1299779</v>
      </c>
      <c r="G30" s="18">
        <f t="shared" si="3"/>
        <v>-0.96447774318680268</v>
      </c>
    </row>
    <row r="31" spans="1:7">
      <c r="A31" s="233">
        <v>2015</v>
      </c>
      <c r="B31" s="60">
        <v>226590970</v>
      </c>
      <c r="C31" s="18">
        <f t="shared" si="1"/>
        <v>-5.871992508838797E-2</v>
      </c>
      <c r="D31" s="60">
        <v>228050477</v>
      </c>
      <c r="E31" s="18">
        <f t="shared" si="2"/>
        <v>0.22534003370035349</v>
      </c>
      <c r="F31" s="283">
        <v>66601128</v>
      </c>
      <c r="G31" s="18">
        <f t="shared" si="3"/>
        <v>50.240347782199898</v>
      </c>
    </row>
    <row r="32" spans="1:7">
      <c r="A32" s="233">
        <v>2016</v>
      </c>
      <c r="B32" s="60">
        <v>225604109</v>
      </c>
      <c r="C32" s="18">
        <f t="shared" si="1"/>
        <v>-4.3552529917675331E-3</v>
      </c>
      <c r="D32" s="60">
        <v>252437229</v>
      </c>
      <c r="E32" s="18">
        <f>D32/D31-1</f>
        <v>0.10693576405016691</v>
      </c>
      <c r="F32" s="283">
        <v>2301490</v>
      </c>
      <c r="G32" s="18">
        <f t="shared" si="3"/>
        <v>-0.96544367837133327</v>
      </c>
    </row>
    <row r="33" spans="1:7">
      <c r="A33" s="233">
        <v>2017</v>
      </c>
      <c r="B33" s="60">
        <v>235971469.37</v>
      </c>
      <c r="C33" s="18">
        <f t="shared" si="1"/>
        <v>4.5953774583068485E-2</v>
      </c>
      <c r="D33" s="60">
        <v>246838957.95000002</v>
      </c>
      <c r="E33" s="18">
        <f>D33/D32-1</f>
        <v>-2.2176883624403843E-2</v>
      </c>
      <c r="F33" s="283">
        <v>1286597</v>
      </c>
      <c r="G33" s="18">
        <f t="shared" si="3"/>
        <v>-0.44097215282273661</v>
      </c>
    </row>
    <row r="34" spans="1:7">
      <c r="A34" s="233">
        <v>2018</v>
      </c>
      <c r="B34" s="60">
        <v>241246799</v>
      </c>
      <c r="C34" s="18">
        <f t="shared" si="1"/>
        <v>2.2355794300404908E-2</v>
      </c>
      <c r="D34" s="60">
        <v>270001672</v>
      </c>
      <c r="E34" s="18">
        <f>D34/D33-1</f>
        <v>9.3837351455242413E-2</v>
      </c>
      <c r="F34" s="283">
        <v>875878</v>
      </c>
      <c r="G34" s="18">
        <f t="shared" si="3"/>
        <v>-0.31922894270700153</v>
      </c>
    </row>
    <row r="35" spans="1:7">
      <c r="A35" s="233">
        <v>2019</v>
      </c>
      <c r="B35" s="60">
        <v>263710369</v>
      </c>
      <c r="C35" s="18">
        <f>B35/B34-1</f>
        <v>9.3114479002890382E-2</v>
      </c>
      <c r="D35" s="60">
        <v>262796295</v>
      </c>
      <c r="E35" s="18">
        <f>D35/D34-1</f>
        <v>-2.6686416223378084E-2</v>
      </c>
      <c r="F35" s="283">
        <v>1150727</v>
      </c>
      <c r="G35" s="18">
        <f>F35/F34-1</f>
        <v>0.31379826870865579</v>
      </c>
    </row>
    <row r="36" spans="1:7">
      <c r="A36" s="233">
        <v>2020</v>
      </c>
      <c r="B36" s="60">
        <v>271147617</v>
      </c>
      <c r="C36" s="18">
        <f>B36/B35-1</f>
        <v>2.8202334357205316E-2</v>
      </c>
      <c r="D36" s="60">
        <v>564974369</v>
      </c>
      <c r="E36" s="18">
        <f>D36/D35-1</f>
        <v>1.149856675110279</v>
      </c>
      <c r="F36" s="283">
        <v>574539</v>
      </c>
      <c r="G36" s="18">
        <f>F36/F35-1</f>
        <v>-0.50071650356687547</v>
      </c>
    </row>
    <row r="37" spans="1:7">
      <c r="A37" s="239"/>
      <c r="B37" s="171"/>
      <c r="C37" s="18"/>
      <c r="D37" s="130"/>
      <c r="E37" s="18"/>
      <c r="F37" s="171"/>
      <c r="G37" s="17"/>
    </row>
    <row r="38" spans="1:7" ht="13.5" thickBot="1">
      <c r="A38" s="284" t="s">
        <v>104</v>
      </c>
      <c r="B38" s="173"/>
      <c r="C38" s="112">
        <f>(B36/B6)^(1/30)-1</f>
        <v>5.0316160872351912E-2</v>
      </c>
      <c r="D38" s="173"/>
      <c r="E38" s="112">
        <f>(D36/D6)^(1/30)-1</f>
        <v>9.4823315752367909E-2</v>
      </c>
      <c r="F38" s="173"/>
      <c r="G38" s="112">
        <f>(F36/F6)^(1/30)-1</f>
        <v>-0.11195425254708347</v>
      </c>
    </row>
    <row r="39" spans="1:7">
      <c r="A39" s="239"/>
      <c r="B39" s="171"/>
      <c r="C39" s="171"/>
      <c r="D39" s="171"/>
      <c r="E39" s="171"/>
      <c r="F39" s="171"/>
      <c r="G39" s="17"/>
    </row>
    <row r="40" spans="1:7">
      <c r="A40" s="363" t="s">
        <v>506</v>
      </c>
      <c r="B40" s="363"/>
      <c r="C40" s="363"/>
      <c r="D40" s="363"/>
      <c r="E40" s="363"/>
    </row>
    <row r="41" spans="1:7">
      <c r="A41" s="387" t="s">
        <v>522</v>
      </c>
      <c r="B41" s="401"/>
      <c r="C41" s="401"/>
      <c r="D41" s="401"/>
      <c r="E41" s="401"/>
      <c r="F41" s="401"/>
      <c r="G41" s="401"/>
    </row>
    <row r="42" spans="1:7">
      <c r="A42" s="387" t="s">
        <v>480</v>
      </c>
      <c r="B42" s="387"/>
      <c r="C42" s="387"/>
      <c r="D42" s="387"/>
      <c r="E42" s="387"/>
      <c r="F42" s="387"/>
      <c r="G42" s="387"/>
    </row>
    <row r="44" spans="1:7">
      <c r="A44" s="9" t="s">
        <v>184</v>
      </c>
    </row>
    <row r="45" spans="1:7">
      <c r="A45" s="364" t="s">
        <v>197</v>
      </c>
      <c r="B45" s="364"/>
      <c r="C45" s="364"/>
      <c r="D45" s="364"/>
      <c r="E45" s="364"/>
      <c r="F45" s="364"/>
      <c r="G45" s="364"/>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6">
    <mergeCell ref="A2:B2"/>
    <mergeCell ref="A42:G42"/>
    <mergeCell ref="A45:G45"/>
    <mergeCell ref="A1:G1"/>
    <mergeCell ref="A40:E40"/>
    <mergeCell ref="A41:G4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47"/>
  <sheetViews>
    <sheetView zoomScaleNormal="100" workbookViewId="0">
      <selection activeCell="D48" sqref="D48"/>
    </sheetView>
  </sheetViews>
  <sheetFormatPr baseColWidth="10" defaultRowHeight="12.75"/>
  <cols>
    <col min="1" max="1" width="37.7109375" customWidth="1"/>
    <col min="2" max="4" width="15.7109375" customWidth="1"/>
  </cols>
  <sheetData>
    <row r="1" spans="1:4" ht="15">
      <c r="A1" s="360" t="s">
        <v>317</v>
      </c>
      <c r="B1" s="360"/>
      <c r="C1" s="360"/>
      <c r="D1" s="360"/>
    </row>
    <row r="2" spans="1:4">
      <c r="A2" s="5" t="s">
        <v>316</v>
      </c>
      <c r="D2" s="2" t="s">
        <v>221</v>
      </c>
    </row>
    <row r="3" spans="1:4" ht="13.5" thickBot="1">
      <c r="A3" s="20"/>
    </row>
    <row r="4" spans="1:4">
      <c r="A4" s="115"/>
      <c r="B4" s="116" t="s">
        <v>729</v>
      </c>
      <c r="C4" s="116" t="s">
        <v>747</v>
      </c>
      <c r="D4" s="140" t="s">
        <v>196</v>
      </c>
    </row>
    <row r="5" spans="1:4">
      <c r="A5" s="17"/>
      <c r="B5" s="17"/>
      <c r="C5" s="17"/>
      <c r="D5" s="122"/>
    </row>
    <row r="6" spans="1:4">
      <c r="A6" s="127" t="s">
        <v>517</v>
      </c>
      <c r="B6" s="59">
        <v>262785681</v>
      </c>
      <c r="C6" s="59">
        <v>564974369</v>
      </c>
      <c r="D6" s="18">
        <f t="shared" ref="D6:D12" si="0">C6/B6-1</f>
        <v>1.1499435085277723</v>
      </c>
    </row>
    <row r="7" spans="1:4">
      <c r="A7" s="123" t="s">
        <v>529</v>
      </c>
      <c r="B7" s="59">
        <v>-1036088</v>
      </c>
      <c r="C7" s="59">
        <v>1698341</v>
      </c>
      <c r="D7" s="18">
        <f t="shared" si="0"/>
        <v>-2.6391860536942806</v>
      </c>
    </row>
    <row r="8" spans="1:4">
      <c r="A8" s="123" t="s">
        <v>129</v>
      </c>
      <c r="B8" s="59">
        <f>B6-B7</f>
        <v>263821769</v>
      </c>
      <c r="C8" s="59">
        <f>C6-C7</f>
        <v>563276028</v>
      </c>
      <c r="D8" s="18">
        <f t="shared" si="0"/>
        <v>1.1350627362369026</v>
      </c>
    </row>
    <row r="9" spans="1:4">
      <c r="A9" s="123" t="s">
        <v>518</v>
      </c>
      <c r="B9" s="59">
        <v>19419917</v>
      </c>
      <c r="C9" s="59">
        <v>18126265</v>
      </c>
      <c r="D9" s="18">
        <f t="shared" si="0"/>
        <v>-6.661470283317894E-2</v>
      </c>
    </row>
    <row r="10" spans="1:4">
      <c r="A10" s="123" t="s">
        <v>519</v>
      </c>
      <c r="B10" s="59">
        <f>B8-B9</f>
        <v>244401852</v>
      </c>
      <c r="C10" s="59">
        <f>C8-C9</f>
        <v>545149763</v>
      </c>
      <c r="D10" s="18">
        <f t="shared" si="0"/>
        <v>1.2305467758894069</v>
      </c>
    </row>
    <row r="11" spans="1:4">
      <c r="A11" s="149" t="s">
        <v>190</v>
      </c>
      <c r="B11" s="59">
        <v>176476849</v>
      </c>
      <c r="C11" s="59">
        <v>468441101</v>
      </c>
      <c r="D11" s="18">
        <f t="shared" si="0"/>
        <v>1.6544054002233461</v>
      </c>
    </row>
    <row r="12" spans="1:4">
      <c r="A12" s="149" t="s">
        <v>0</v>
      </c>
      <c r="B12" s="59">
        <v>67925003</v>
      </c>
      <c r="C12" s="59">
        <v>96533268</v>
      </c>
      <c r="D12" s="18">
        <f t="shared" si="0"/>
        <v>0.42117429129889028</v>
      </c>
    </row>
    <row r="13" spans="1:4">
      <c r="A13" s="127"/>
      <c r="B13" s="59"/>
      <c r="C13" s="59"/>
      <c r="D13" s="17"/>
    </row>
    <row r="14" spans="1:4">
      <c r="A14" s="123" t="s">
        <v>187</v>
      </c>
      <c r="B14" s="125">
        <v>16200</v>
      </c>
      <c r="C14" s="125">
        <v>15184</v>
      </c>
      <c r="D14" s="18">
        <f>C14/B14-1</f>
        <v>-6.2716049382716021E-2</v>
      </c>
    </row>
    <row r="15" spans="1:4">
      <c r="A15" s="130"/>
      <c r="B15" s="59"/>
      <c r="C15" s="59"/>
      <c r="D15" s="126"/>
    </row>
    <row r="16" spans="1:4">
      <c r="A16" s="130" t="s">
        <v>520</v>
      </c>
      <c r="B16" s="59">
        <f t="shared" ref="B16" si="1">B10/B$14</f>
        <v>15086.534074074074</v>
      </c>
      <c r="C16" s="59">
        <f>C10/C$14</f>
        <v>35902.908522128557</v>
      </c>
      <c r="D16" s="18">
        <f>C16/B16-1</f>
        <v>1.3797983251717856</v>
      </c>
    </row>
    <row r="17" spans="1:8">
      <c r="A17" s="129" t="s">
        <v>193</v>
      </c>
      <c r="B17" s="59">
        <f t="shared" ref="B17" si="2">B11/B$14</f>
        <v>10893.632654320987</v>
      </c>
      <c r="C17" s="59">
        <f t="shared" ref="C17:C18" si="3">C11/C$14</f>
        <v>30850.968190200212</v>
      </c>
      <c r="D17" s="18">
        <f>C17/B17-1</f>
        <v>1.8320184064553615</v>
      </c>
    </row>
    <row r="18" spans="1:8" ht="13.5" thickBot="1">
      <c r="A18" s="135" t="s">
        <v>194</v>
      </c>
      <c r="B18" s="136">
        <f t="shared" ref="B18" si="4">B12/B$14</f>
        <v>4192.901419753086</v>
      </c>
      <c r="C18" s="136">
        <f t="shared" si="3"/>
        <v>6357.5650684931506</v>
      </c>
      <c r="D18" s="112">
        <f>C18/B18-1</f>
        <v>0.51626867222352657</v>
      </c>
      <c r="H18" s="3"/>
    </row>
    <row r="19" spans="1:8">
      <c r="A19" s="23"/>
      <c r="B19" s="23"/>
      <c r="C19" s="23"/>
    </row>
    <row r="20" spans="1:8">
      <c r="A20" s="26"/>
      <c r="B20" s="25"/>
      <c r="C20" s="25"/>
      <c r="D20" s="22"/>
    </row>
    <row r="21" spans="1:8">
      <c r="A21" s="26"/>
      <c r="B21" s="23"/>
      <c r="C21" s="23"/>
      <c r="D21" s="22"/>
    </row>
    <row r="22" spans="1:8">
      <c r="A22" s="26"/>
      <c r="B22" s="23"/>
      <c r="C22" s="23"/>
    </row>
    <row r="23" spans="1:8" ht="15">
      <c r="A23" s="365" t="s">
        <v>327</v>
      </c>
      <c r="B23" s="365"/>
      <c r="C23" s="365"/>
      <c r="D23" s="365"/>
    </row>
    <row r="24" spans="1:8">
      <c r="A24" s="26" t="s">
        <v>316</v>
      </c>
      <c r="B24" s="23"/>
      <c r="C24" s="23"/>
      <c r="D24" s="2" t="s">
        <v>222</v>
      </c>
    </row>
    <row r="25" spans="1:8" ht="13.5" thickBot="1">
      <c r="A25" s="23"/>
      <c r="B25" s="23"/>
      <c r="C25" s="23"/>
    </row>
    <row r="26" spans="1:8">
      <c r="A26" s="138"/>
      <c r="B26" s="139" t="s">
        <v>729</v>
      </c>
      <c r="C26" s="139" t="s">
        <v>747</v>
      </c>
      <c r="D26" s="140" t="s">
        <v>209</v>
      </c>
    </row>
    <row r="27" spans="1:8">
      <c r="A27" s="129"/>
      <c r="B27" s="129"/>
      <c r="C27" s="129"/>
      <c r="D27" s="122"/>
    </row>
    <row r="28" spans="1:8">
      <c r="A28" s="130" t="s">
        <v>519</v>
      </c>
      <c r="B28" s="59">
        <f>B10</f>
        <v>244401852</v>
      </c>
      <c r="C28" s="59">
        <f>C10</f>
        <v>545149763</v>
      </c>
      <c r="D28" s="18">
        <f>SUM(D30:D40)</f>
        <v>1</v>
      </c>
    </row>
    <row r="29" spans="1:8">
      <c r="A29" s="129"/>
      <c r="B29" s="59"/>
      <c r="C29" s="59"/>
      <c r="D29" s="122"/>
    </row>
    <row r="30" spans="1:8">
      <c r="A30" s="129" t="s">
        <v>198</v>
      </c>
      <c r="B30" s="59">
        <v>11611245</v>
      </c>
      <c r="C30" s="59">
        <v>11168425</v>
      </c>
      <c r="D30" s="18">
        <f t="shared" ref="D30:D40" si="5">C30/C$28</f>
        <v>2.0486893250286527E-2</v>
      </c>
      <c r="E30" s="12"/>
    </row>
    <row r="31" spans="1:8">
      <c r="A31" s="129" t="s">
        <v>199</v>
      </c>
      <c r="B31" s="59">
        <v>31422917</v>
      </c>
      <c r="C31" s="59">
        <v>18724920</v>
      </c>
      <c r="D31" s="18">
        <f t="shared" si="5"/>
        <v>3.4348212676376048E-2</v>
      </c>
      <c r="E31" s="12"/>
    </row>
    <row r="32" spans="1:8">
      <c r="A32" s="129" t="s">
        <v>200</v>
      </c>
      <c r="B32" s="59">
        <v>1819143</v>
      </c>
      <c r="C32" s="59">
        <v>1454269</v>
      </c>
      <c r="D32" s="18">
        <f t="shared" si="5"/>
        <v>2.6676504305845217E-3</v>
      </c>
      <c r="E32" s="12"/>
    </row>
    <row r="33" spans="1:5">
      <c r="A33" s="129" t="s">
        <v>201</v>
      </c>
      <c r="B33" s="59">
        <v>95353273</v>
      </c>
      <c r="C33" s="59">
        <v>390845121</v>
      </c>
      <c r="D33" s="18">
        <f t="shared" si="5"/>
        <v>0.71694999709648599</v>
      </c>
      <c r="E33" s="12"/>
    </row>
    <row r="34" spans="1:5">
      <c r="A34" s="129" t="s">
        <v>202</v>
      </c>
      <c r="B34" s="59">
        <v>58438509</v>
      </c>
      <c r="C34" s="59">
        <v>74210311</v>
      </c>
      <c r="D34" s="18">
        <f t="shared" si="5"/>
        <v>0.13612830094911002</v>
      </c>
      <c r="E34" s="12"/>
    </row>
    <row r="35" spans="1:5">
      <c r="A35" s="129" t="s">
        <v>203</v>
      </c>
      <c r="B35" s="59">
        <v>152134</v>
      </c>
      <c r="C35" s="59">
        <v>127610</v>
      </c>
      <c r="D35" s="18">
        <f t="shared" si="5"/>
        <v>2.3408246441813092E-4</v>
      </c>
      <c r="E35" s="12"/>
    </row>
    <row r="36" spans="1:5">
      <c r="A36" s="129" t="s">
        <v>204</v>
      </c>
      <c r="B36" s="59">
        <v>8517392</v>
      </c>
      <c r="C36" s="59">
        <v>9700416</v>
      </c>
      <c r="D36" s="18">
        <f t="shared" si="5"/>
        <v>1.7794038736471028E-2</v>
      </c>
      <c r="E36" s="12"/>
    </row>
    <row r="37" spans="1:5">
      <c r="A37" s="129" t="s">
        <v>205</v>
      </c>
      <c r="B37" s="59">
        <v>8830298</v>
      </c>
      <c r="C37" s="59">
        <v>8287063</v>
      </c>
      <c r="D37" s="18">
        <f t="shared" si="5"/>
        <v>1.5201442910652058E-2</v>
      </c>
      <c r="E37" s="12"/>
    </row>
    <row r="38" spans="1:5">
      <c r="A38" s="129" t="s">
        <v>206</v>
      </c>
      <c r="B38" s="59">
        <v>13286863</v>
      </c>
      <c r="C38" s="59">
        <v>12301600</v>
      </c>
      <c r="D38" s="18">
        <f t="shared" si="5"/>
        <v>2.2565542232474565E-2</v>
      </c>
      <c r="E38" s="12"/>
    </row>
    <row r="39" spans="1:5">
      <c r="A39" s="129" t="s">
        <v>207</v>
      </c>
      <c r="B39" s="59">
        <v>170058</v>
      </c>
      <c r="C39" s="59">
        <v>203475</v>
      </c>
      <c r="D39" s="18">
        <f t="shared" si="5"/>
        <v>3.7324605789106801E-4</v>
      </c>
      <c r="E39" s="12"/>
    </row>
    <row r="40" spans="1:5" ht="13.5" thickBot="1">
      <c r="A40" s="135" t="s">
        <v>208</v>
      </c>
      <c r="B40" s="136">
        <v>14800020</v>
      </c>
      <c r="C40" s="136">
        <v>18126553</v>
      </c>
      <c r="D40" s="112">
        <f t="shared" si="5"/>
        <v>3.3250593195250089E-2</v>
      </c>
      <c r="E40" s="12"/>
    </row>
    <row r="41" spans="1:5">
      <c r="B41" s="3"/>
      <c r="C41" s="3"/>
      <c r="D41" s="12"/>
    </row>
    <row r="42" spans="1:5">
      <c r="A42" s="363" t="s">
        <v>482</v>
      </c>
      <c r="B42" s="363"/>
      <c r="C42" s="363"/>
      <c r="D42" s="363"/>
    </row>
    <row r="43" spans="1:5" ht="25.5" customHeight="1">
      <c r="A43" s="370" t="s">
        <v>531</v>
      </c>
      <c r="B43" s="371"/>
      <c r="C43" s="371"/>
      <c r="D43" s="371"/>
    </row>
    <row r="44" spans="1:5" ht="66.75" customHeight="1">
      <c r="A44" s="362" t="s">
        <v>770</v>
      </c>
      <c r="B44" s="369"/>
      <c r="C44" s="369"/>
      <c r="D44" s="369"/>
    </row>
    <row r="45" spans="1:5">
      <c r="A45" s="5"/>
    </row>
    <row r="46" spans="1:5">
      <c r="A46" s="1" t="s">
        <v>184</v>
      </c>
    </row>
    <row r="47" spans="1:5">
      <c r="A47" s="364" t="s">
        <v>197</v>
      </c>
      <c r="B47" s="364"/>
      <c r="C47" s="364"/>
      <c r="D47" s="364"/>
    </row>
  </sheetData>
  <mergeCells count="6">
    <mergeCell ref="A1:D1"/>
    <mergeCell ref="A23:D23"/>
    <mergeCell ref="A42:D42"/>
    <mergeCell ref="A44:D44"/>
    <mergeCell ref="A47:D47"/>
    <mergeCell ref="A43:D43"/>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5"/>
  <sheetViews>
    <sheetView zoomScaleNormal="100" workbookViewId="0">
      <selection activeCell="F36" sqref="F36"/>
    </sheetView>
  </sheetViews>
  <sheetFormatPr baseColWidth="10" defaultRowHeight="12.75"/>
  <cols>
    <col min="1" max="1" width="10.85546875" style="10" customWidth="1"/>
    <col min="2" max="2" width="13.140625" customWidth="1"/>
    <col min="3" max="3" width="8.85546875" customWidth="1"/>
    <col min="4" max="4" width="15.7109375" customWidth="1"/>
    <col min="5" max="5" width="8.85546875" customWidth="1"/>
    <col min="6" max="6" width="20.28515625" customWidth="1"/>
    <col min="7" max="7" width="8.42578125" customWidth="1"/>
  </cols>
  <sheetData>
    <row r="1" spans="1:7" ht="30" customHeight="1">
      <c r="A1" s="396" t="s">
        <v>523</v>
      </c>
      <c r="B1" s="396"/>
      <c r="C1" s="396"/>
      <c r="D1" s="396"/>
      <c r="E1" s="396"/>
      <c r="F1" s="396"/>
      <c r="G1" s="396"/>
    </row>
    <row r="2" spans="1:7">
      <c r="A2" s="387" t="s">
        <v>313</v>
      </c>
      <c r="B2" s="387"/>
      <c r="C2" s="387"/>
      <c r="D2" s="387"/>
      <c r="E2" s="387"/>
      <c r="F2" s="387"/>
      <c r="G2" s="2" t="s">
        <v>357</v>
      </c>
    </row>
    <row r="3" spans="1:7" ht="13.5" thickBot="1">
      <c r="A3" s="66"/>
    </row>
    <row r="4" spans="1:7" ht="25.5">
      <c r="A4" s="285" t="s">
        <v>265</v>
      </c>
      <c r="B4" s="285" t="s">
        <v>5</v>
      </c>
      <c r="C4" s="282" t="s">
        <v>295</v>
      </c>
      <c r="D4" s="286" t="s">
        <v>524</v>
      </c>
      <c r="E4" s="282" t="s">
        <v>295</v>
      </c>
      <c r="F4" s="285" t="s">
        <v>79</v>
      </c>
      <c r="G4" s="282" t="s">
        <v>295</v>
      </c>
    </row>
    <row r="5" spans="1:7">
      <c r="A5" s="233"/>
      <c r="B5" s="17"/>
      <c r="C5" s="17"/>
      <c r="D5" s="17"/>
      <c r="E5" s="17"/>
      <c r="F5" s="122"/>
      <c r="G5" s="17"/>
    </row>
    <row r="6" spans="1:7">
      <c r="A6" s="233">
        <v>1990</v>
      </c>
      <c r="B6" s="59">
        <v>10447050.85</v>
      </c>
      <c r="C6" s="18">
        <v>-0.27100000000000002</v>
      </c>
      <c r="D6" s="59">
        <v>7088320.2000000002</v>
      </c>
      <c r="E6" s="18">
        <v>0.13100000000000001</v>
      </c>
      <c r="F6" s="59">
        <v>67161158.980000004</v>
      </c>
      <c r="G6" s="18">
        <v>2.9000000000000001E-2</v>
      </c>
    </row>
    <row r="7" spans="1:7" s="5" customFormat="1">
      <c r="A7" s="239">
        <v>1991</v>
      </c>
      <c r="B7" s="283">
        <v>14367691.550000001</v>
      </c>
      <c r="C7" s="18">
        <f t="shared" ref="C7:C23" si="0">B7/B6-1</f>
        <v>0.37528683992190981</v>
      </c>
      <c r="D7" s="283">
        <v>8077108.9000000004</v>
      </c>
      <c r="E7" s="18">
        <f t="shared" ref="E7:E23" si="1">D7/D6-1</f>
        <v>0.13949549005983108</v>
      </c>
      <c r="F7" s="283">
        <v>70844184.670000002</v>
      </c>
      <c r="G7" s="18">
        <f t="shared" ref="G7:G23" si="2">F7/F6-1</f>
        <v>5.4838626163327131E-2</v>
      </c>
    </row>
    <row r="8" spans="1:7">
      <c r="A8" s="233">
        <v>1992</v>
      </c>
      <c r="B8" s="59">
        <v>9455224.5</v>
      </c>
      <c r="C8" s="18">
        <f t="shared" si="0"/>
        <v>-0.34191067040272038</v>
      </c>
      <c r="D8" s="59">
        <v>8631204.5500000007</v>
      </c>
      <c r="E8" s="18">
        <f t="shared" si="1"/>
        <v>6.8600740297063423E-2</v>
      </c>
      <c r="F8" s="87">
        <v>73487023.189999998</v>
      </c>
      <c r="G8" s="18">
        <f t="shared" si="2"/>
        <v>3.730494651481453E-2</v>
      </c>
    </row>
    <row r="9" spans="1:7">
      <c r="A9" s="233">
        <v>1993</v>
      </c>
      <c r="B9" s="59">
        <v>7063145.5999999996</v>
      </c>
      <c r="C9" s="18">
        <f t="shared" si="0"/>
        <v>-0.25299017490277464</v>
      </c>
      <c r="D9" s="59">
        <v>8680744.6999999993</v>
      </c>
      <c r="E9" s="18">
        <f t="shared" si="1"/>
        <v>5.7396565813052636E-3</v>
      </c>
      <c r="F9" s="87">
        <v>75952986.299999997</v>
      </c>
      <c r="G9" s="18">
        <f t="shared" si="2"/>
        <v>3.3556443069197028E-2</v>
      </c>
    </row>
    <row r="10" spans="1:7">
      <c r="A10" s="233">
        <v>1994</v>
      </c>
      <c r="B10" s="60">
        <v>8759105.4399999995</v>
      </c>
      <c r="C10" s="18">
        <f t="shared" si="0"/>
        <v>0.24011395715812522</v>
      </c>
      <c r="D10" s="60">
        <v>8542365.8800000008</v>
      </c>
      <c r="E10" s="18">
        <f t="shared" si="1"/>
        <v>-1.5940892720874289E-2</v>
      </c>
      <c r="F10" s="283">
        <v>77914737.519999996</v>
      </c>
      <c r="G10" s="18">
        <f t="shared" si="2"/>
        <v>2.5828493592752855E-2</v>
      </c>
    </row>
    <row r="11" spans="1:7">
      <c r="A11" s="233">
        <v>1995</v>
      </c>
      <c r="B11" s="60">
        <v>9661714.25</v>
      </c>
      <c r="C11" s="18">
        <f t="shared" si="0"/>
        <v>0.10304805852411336</v>
      </c>
      <c r="D11" s="60">
        <v>8531395.5</v>
      </c>
      <c r="E11" s="18">
        <f t="shared" si="1"/>
        <v>-1.284232044624245E-3</v>
      </c>
      <c r="F11" s="283">
        <v>77490094.879999995</v>
      </c>
      <c r="G11" s="18">
        <f t="shared" si="2"/>
        <v>-5.4500939554728012E-3</v>
      </c>
    </row>
    <row r="12" spans="1:7">
      <c r="A12" s="233">
        <v>1996</v>
      </c>
      <c r="B12" s="60">
        <v>12703324.5</v>
      </c>
      <c r="C12" s="18">
        <f t="shared" si="0"/>
        <v>0.31481061965789348</v>
      </c>
      <c r="D12" s="60">
        <v>8745793.4499999993</v>
      </c>
      <c r="E12" s="18">
        <f t="shared" si="1"/>
        <v>2.5130466639367466E-2</v>
      </c>
      <c r="F12" s="283">
        <v>80481173.099999994</v>
      </c>
      <c r="G12" s="18">
        <f t="shared" si="2"/>
        <v>3.8599491001165109E-2</v>
      </c>
    </row>
    <row r="13" spans="1:7">
      <c r="A13" s="233">
        <v>1997</v>
      </c>
      <c r="B13" s="283">
        <v>12905860.550000001</v>
      </c>
      <c r="C13" s="18">
        <f t="shared" si="0"/>
        <v>1.5943546903804728E-2</v>
      </c>
      <c r="D13" s="283">
        <v>8965410.1500000004</v>
      </c>
      <c r="E13" s="18">
        <f t="shared" si="1"/>
        <v>2.51111235653525E-2</v>
      </c>
      <c r="F13" s="283">
        <v>81887641.150000006</v>
      </c>
      <c r="G13" s="18">
        <f t="shared" si="2"/>
        <v>1.7475739925565392E-2</v>
      </c>
    </row>
    <row r="14" spans="1:7">
      <c r="A14" s="233">
        <v>1998</v>
      </c>
      <c r="B14" s="60">
        <v>10765093.199999999</v>
      </c>
      <c r="C14" s="18">
        <f t="shared" si="0"/>
        <v>-0.16587559905100646</v>
      </c>
      <c r="D14" s="60">
        <v>9417047.3000000007</v>
      </c>
      <c r="E14" s="18">
        <f t="shared" si="1"/>
        <v>5.0375514610449867E-2</v>
      </c>
      <c r="F14" s="283">
        <v>86504541.150000006</v>
      </c>
      <c r="G14" s="18">
        <f t="shared" si="2"/>
        <v>5.6380913348607287E-2</v>
      </c>
    </row>
    <row r="15" spans="1:7">
      <c r="A15" s="233">
        <v>1999</v>
      </c>
      <c r="B15" s="60">
        <v>18575465.550000001</v>
      </c>
      <c r="C15" s="18">
        <f t="shared" si="0"/>
        <v>0.72552761085245421</v>
      </c>
      <c r="D15" s="60">
        <v>10782769.5</v>
      </c>
      <c r="E15" s="18">
        <f t="shared" si="1"/>
        <v>0.14502658386350031</v>
      </c>
      <c r="F15" s="283">
        <v>88840979.230000004</v>
      </c>
      <c r="G15" s="18">
        <f t="shared" si="2"/>
        <v>2.7009426891804189E-2</v>
      </c>
    </row>
    <row r="16" spans="1:7">
      <c r="A16" s="233">
        <v>2000</v>
      </c>
      <c r="B16" s="60">
        <v>21200311.300000001</v>
      </c>
      <c r="C16" s="18">
        <f t="shared" si="0"/>
        <v>0.14130713133055228</v>
      </c>
      <c r="D16" s="60">
        <v>12015604.1</v>
      </c>
      <c r="E16" s="18">
        <f t="shared" si="1"/>
        <v>0.11433376184105581</v>
      </c>
      <c r="F16" s="283">
        <v>90794027.719999999</v>
      </c>
      <c r="G16" s="18">
        <f t="shared" si="2"/>
        <v>2.1983644337640218E-2</v>
      </c>
    </row>
    <row r="17" spans="1:7">
      <c r="A17" s="233">
        <v>2001</v>
      </c>
      <c r="B17" s="60">
        <v>18965191.800000001</v>
      </c>
      <c r="C17" s="18">
        <f t="shared" si="0"/>
        <v>-0.10542861698450623</v>
      </c>
      <c r="D17" s="60">
        <v>13753498.550000001</v>
      </c>
      <c r="E17" s="18">
        <f t="shared" si="1"/>
        <v>0.14463646068365388</v>
      </c>
      <c r="F17" s="283">
        <v>90269623.019999996</v>
      </c>
      <c r="G17" s="18">
        <f t="shared" si="2"/>
        <v>-5.7757620536145193E-3</v>
      </c>
    </row>
    <row r="18" spans="1:7">
      <c r="A18" s="233">
        <v>2002</v>
      </c>
      <c r="B18" s="60">
        <v>22333797.550000001</v>
      </c>
      <c r="C18" s="18">
        <f t="shared" si="0"/>
        <v>0.17762044199310445</v>
      </c>
      <c r="D18" s="60">
        <v>15540655.4</v>
      </c>
      <c r="E18" s="18">
        <f t="shared" si="1"/>
        <v>0.12994198119866751</v>
      </c>
      <c r="F18" s="283">
        <v>88555722.870000005</v>
      </c>
      <c r="G18" s="18">
        <f t="shared" si="2"/>
        <v>-1.898645516244446E-2</v>
      </c>
    </row>
    <row r="19" spans="1:7">
      <c r="A19" s="233">
        <v>2003</v>
      </c>
      <c r="B19" s="60">
        <v>13353076.199999999</v>
      </c>
      <c r="C19" s="18">
        <f t="shared" si="0"/>
        <v>-0.40211349323348733</v>
      </c>
      <c r="D19" s="60">
        <v>16226694.800000001</v>
      </c>
      <c r="E19" s="18">
        <f t="shared" si="1"/>
        <v>4.4144817727571617E-2</v>
      </c>
      <c r="F19" s="283">
        <v>87477293.159999996</v>
      </c>
      <c r="G19" s="18">
        <f t="shared" si="2"/>
        <v>-1.2177978735300354E-2</v>
      </c>
    </row>
    <row r="20" spans="1:7">
      <c r="A20" s="233">
        <v>2004</v>
      </c>
      <c r="B20" s="60">
        <v>16150419.15</v>
      </c>
      <c r="C20" s="18">
        <f t="shared" si="0"/>
        <v>0.20949052548655422</v>
      </c>
      <c r="D20" s="60">
        <v>16436581.449999999</v>
      </c>
      <c r="E20" s="18">
        <f t="shared" si="1"/>
        <v>1.2934651978540934E-2</v>
      </c>
      <c r="F20" s="283">
        <v>85910266.700000003</v>
      </c>
      <c r="G20" s="18">
        <f t="shared" si="2"/>
        <v>-1.7913522508450574E-2</v>
      </c>
    </row>
    <row r="21" spans="1:7">
      <c r="A21" s="233">
        <v>2005</v>
      </c>
      <c r="B21" s="60">
        <v>14465581.5</v>
      </c>
      <c r="C21" s="18">
        <f t="shared" si="0"/>
        <v>-0.10432160517642042</v>
      </c>
      <c r="D21" s="60">
        <v>16739838.550000001</v>
      </c>
      <c r="E21" s="18">
        <f t="shared" si="1"/>
        <v>1.845013215932445E-2</v>
      </c>
      <c r="F21" s="283">
        <v>93837832.049999997</v>
      </c>
      <c r="G21" s="18">
        <f t="shared" si="2"/>
        <v>9.2277275516827073E-2</v>
      </c>
    </row>
    <row r="22" spans="1:7">
      <c r="A22" s="233">
        <v>2006</v>
      </c>
      <c r="B22" s="60">
        <v>15347046.120000001</v>
      </c>
      <c r="C22" s="18">
        <f t="shared" si="0"/>
        <v>6.0935304951273528E-2</v>
      </c>
      <c r="D22" s="60">
        <v>17251758.050000001</v>
      </c>
      <c r="E22" s="18">
        <f t="shared" si="1"/>
        <v>3.0580910232255398E-2</v>
      </c>
      <c r="F22" s="283">
        <v>97611952.640000001</v>
      </c>
      <c r="G22" s="18">
        <f t="shared" si="2"/>
        <v>4.0219605542346937E-2</v>
      </c>
    </row>
    <row r="23" spans="1:7">
      <c r="A23" s="233">
        <v>2007</v>
      </c>
      <c r="B23" s="60">
        <v>15756925.59</v>
      </c>
      <c r="C23" s="18">
        <f t="shared" si="0"/>
        <v>2.6707385043031273E-2</v>
      </c>
      <c r="D23" s="60">
        <v>18347779.149999999</v>
      </c>
      <c r="E23" s="18">
        <f t="shared" si="1"/>
        <v>6.3530980252763047E-2</v>
      </c>
      <c r="F23" s="283">
        <v>89659038.069999993</v>
      </c>
      <c r="G23" s="18">
        <f t="shared" si="2"/>
        <v>-8.1474802571883109E-2</v>
      </c>
    </row>
    <row r="24" spans="1:7">
      <c r="A24" s="233">
        <v>2008</v>
      </c>
      <c r="B24" s="60">
        <v>17478210</v>
      </c>
      <c r="C24" s="18">
        <f t="shared" ref="C24:C31" si="3">B24/B23-1</f>
        <v>0.10923986409457931</v>
      </c>
      <c r="D24" s="60">
        <v>19254022.899999999</v>
      </c>
      <c r="E24" s="18">
        <f t="shared" ref="E24:E36" si="4">D24/D23-1</f>
        <v>4.9392558226863059E-2</v>
      </c>
      <c r="F24" s="283">
        <v>89328248.150000006</v>
      </c>
      <c r="G24" s="18">
        <f t="shared" ref="G24:G36" si="5">F24/F23-1</f>
        <v>-3.6894208004074613E-3</v>
      </c>
    </row>
    <row r="25" spans="1:7">
      <c r="A25" s="233">
        <v>2009</v>
      </c>
      <c r="B25" s="60">
        <v>17735561.059999999</v>
      </c>
      <c r="C25" s="18">
        <f t="shared" si="3"/>
        <v>1.4724108475639097E-2</v>
      </c>
      <c r="D25" s="60">
        <v>20310319.100000001</v>
      </c>
      <c r="E25" s="18">
        <f t="shared" si="4"/>
        <v>5.4861064905038726E-2</v>
      </c>
      <c r="F25" s="283">
        <v>79243807.620000005</v>
      </c>
      <c r="G25" s="18">
        <f t="shared" si="5"/>
        <v>-0.11289195454797463</v>
      </c>
    </row>
    <row r="26" spans="1:7">
      <c r="A26" s="233">
        <v>2010</v>
      </c>
      <c r="B26" s="60">
        <v>12983382.350000001</v>
      </c>
      <c r="C26" s="18">
        <f t="shared" si="3"/>
        <v>-0.26794634203695145</v>
      </c>
      <c r="D26" s="60">
        <v>20099911.649999999</v>
      </c>
      <c r="E26" s="18">
        <f t="shared" si="4"/>
        <v>-1.0359632902074978E-2</v>
      </c>
      <c r="F26" s="283">
        <v>67367945.849999994</v>
      </c>
      <c r="G26" s="18">
        <f t="shared" si="5"/>
        <v>-0.14986485539600336</v>
      </c>
    </row>
    <row r="27" spans="1:7">
      <c r="A27" s="233">
        <v>2011</v>
      </c>
      <c r="B27" s="60">
        <v>17574015.699999999</v>
      </c>
      <c r="C27" s="18">
        <f t="shared" si="3"/>
        <v>0.35357761377180719</v>
      </c>
      <c r="D27" s="60">
        <v>19908800.75</v>
      </c>
      <c r="E27" s="18">
        <f t="shared" si="4"/>
        <v>-9.5080467679566905E-3</v>
      </c>
      <c r="F27" s="283">
        <v>65462749.670000002</v>
      </c>
      <c r="G27" s="18">
        <f t="shared" si="5"/>
        <v>-2.8280455281241013E-2</v>
      </c>
    </row>
    <row r="28" spans="1:7">
      <c r="A28" s="233">
        <v>2012</v>
      </c>
      <c r="B28" s="60">
        <v>14854599.850000001</v>
      </c>
      <c r="C28" s="18">
        <f t="shared" si="3"/>
        <v>-0.15474072041485643</v>
      </c>
      <c r="D28" s="60">
        <v>23715924.049999997</v>
      </c>
      <c r="E28" s="18">
        <f t="shared" si="4"/>
        <v>0.1912281582304749</v>
      </c>
      <c r="F28" s="283">
        <v>63187309.719999999</v>
      </c>
      <c r="G28" s="18">
        <f t="shared" si="5"/>
        <v>-3.4759309095181212E-2</v>
      </c>
    </row>
    <row r="29" spans="1:7">
      <c r="A29" s="233">
        <v>2013</v>
      </c>
      <c r="B29" s="60">
        <v>18778981.550000001</v>
      </c>
      <c r="C29" s="18">
        <f t="shared" si="3"/>
        <v>0.26418629512931635</v>
      </c>
      <c r="D29" s="60">
        <v>26390511.75</v>
      </c>
      <c r="E29" s="18">
        <f t="shared" si="4"/>
        <v>0.11277602737979775</v>
      </c>
      <c r="F29" s="283">
        <v>46231063.299999997</v>
      </c>
      <c r="G29" s="18">
        <f t="shared" si="5"/>
        <v>-0.268348921565702</v>
      </c>
    </row>
    <row r="30" spans="1:7">
      <c r="A30" s="233">
        <v>2014</v>
      </c>
      <c r="B30" s="60">
        <v>26636566</v>
      </c>
      <c r="C30" s="18">
        <f t="shared" si="3"/>
        <v>0.41842441929445306</v>
      </c>
      <c r="D30" s="60">
        <v>26464650.050000001</v>
      </c>
      <c r="E30" s="18">
        <f t="shared" si="4"/>
        <v>2.8092786037012818E-3</v>
      </c>
      <c r="F30" s="283">
        <v>6899478</v>
      </c>
      <c r="G30" s="18">
        <f t="shared" si="5"/>
        <v>-0.85076099255541027</v>
      </c>
    </row>
    <row r="31" spans="1:7">
      <c r="A31" s="233">
        <v>2015</v>
      </c>
      <c r="B31" s="60">
        <v>18377139</v>
      </c>
      <c r="C31" s="18">
        <f t="shared" si="3"/>
        <v>-0.31007852138297409</v>
      </c>
      <c r="D31" s="60">
        <v>27178314</v>
      </c>
      <c r="E31" s="18">
        <f t="shared" si="4"/>
        <v>2.6966687587089311E-2</v>
      </c>
      <c r="F31" s="283">
        <v>2464519</v>
      </c>
      <c r="G31" s="18">
        <f t="shared" si="5"/>
        <v>-0.64279631009766247</v>
      </c>
    </row>
    <row r="32" spans="1:7">
      <c r="A32" s="233">
        <v>2016</v>
      </c>
      <c r="B32" s="60">
        <v>19169775</v>
      </c>
      <c r="C32" s="18">
        <f>B32/B31-1</f>
        <v>4.3131632187142888E-2</v>
      </c>
      <c r="D32" s="60">
        <v>27948971</v>
      </c>
      <c r="E32" s="18">
        <f t="shared" si="4"/>
        <v>2.8355585265517291E-2</v>
      </c>
      <c r="F32" s="283">
        <v>148500</v>
      </c>
      <c r="G32" s="18">
        <f t="shared" si="5"/>
        <v>-0.93974483459044134</v>
      </c>
    </row>
    <row r="33" spans="1:7">
      <c r="A33" s="233">
        <v>2017</v>
      </c>
      <c r="B33" s="60">
        <v>25737317</v>
      </c>
      <c r="C33" s="18">
        <f>B33/B32-1</f>
        <v>0.34259880462864056</v>
      </c>
      <c r="D33" s="60">
        <v>29569010</v>
      </c>
      <c r="E33" s="18">
        <f t="shared" si="4"/>
        <v>5.7964173350067094E-2</v>
      </c>
      <c r="F33" s="283">
        <v>109014</v>
      </c>
      <c r="G33" s="18">
        <f t="shared" si="5"/>
        <v>-0.26589898989898986</v>
      </c>
    </row>
    <row r="34" spans="1:7">
      <c r="A34" s="233">
        <v>2018</v>
      </c>
      <c r="B34" s="60">
        <v>32235477</v>
      </c>
      <c r="C34" s="18">
        <f>B34/B33-1</f>
        <v>0.25248008562819502</v>
      </c>
      <c r="D34" s="60">
        <v>31157929</v>
      </c>
      <c r="E34" s="18">
        <f t="shared" si="4"/>
        <v>5.3735955312673722E-2</v>
      </c>
      <c r="F34" s="283">
        <v>40350</v>
      </c>
      <c r="G34" s="18">
        <f t="shared" si="5"/>
        <v>-0.62986405415818147</v>
      </c>
    </row>
    <row r="35" spans="1:7">
      <c r="A35" s="233">
        <v>2019</v>
      </c>
      <c r="B35" s="60">
        <v>29774629</v>
      </c>
      <c r="C35" s="18">
        <f>B35/B34-1</f>
        <v>-7.6339742079820971E-2</v>
      </c>
      <c r="D35" s="60">
        <v>33854016</v>
      </c>
      <c r="E35" s="18">
        <f>D35/D34-1</f>
        <v>8.6529724103293182E-2</v>
      </c>
      <c r="F35" s="283">
        <v>34888</v>
      </c>
      <c r="G35" s="18">
        <f>F35/F34-1</f>
        <v>-0.13536555142503093</v>
      </c>
    </row>
    <row r="36" spans="1:7">
      <c r="A36" s="233">
        <v>2020</v>
      </c>
      <c r="B36" s="60">
        <v>30392717</v>
      </c>
      <c r="C36" s="18">
        <f>B36/B35-1</f>
        <v>2.0758881663983209E-2</v>
      </c>
      <c r="D36" s="60">
        <v>35968081</v>
      </c>
      <c r="E36" s="18">
        <f t="shared" si="4"/>
        <v>6.2446505608079184E-2</v>
      </c>
      <c r="F36" s="283">
        <v>18923</v>
      </c>
      <c r="G36" s="18">
        <f t="shared" si="5"/>
        <v>-0.45760720018344414</v>
      </c>
    </row>
    <row r="37" spans="1:7">
      <c r="A37" s="239"/>
      <c r="B37" s="171"/>
      <c r="C37" s="171"/>
      <c r="D37" s="171"/>
      <c r="E37" s="171"/>
      <c r="F37" s="18"/>
      <c r="G37" s="17"/>
    </row>
    <row r="38" spans="1:7" ht="13.5" thickBot="1">
      <c r="A38" s="284" t="s">
        <v>104</v>
      </c>
      <c r="B38" s="173"/>
      <c r="C38" s="112">
        <f>(B36/B6)^(1/30)-1</f>
        <v>3.6237235552881497E-2</v>
      </c>
      <c r="D38" s="173"/>
      <c r="E38" s="112">
        <f>(D36/D6)^(1/30)-1</f>
        <v>5.5631800416096056E-2</v>
      </c>
      <c r="F38" s="173"/>
      <c r="G38" s="112">
        <f>(F36/F6)^(1/30)-1</f>
        <v>-0.23851317523746751</v>
      </c>
    </row>
    <row r="39" spans="1:7">
      <c r="A39" s="11"/>
      <c r="B39" s="5"/>
      <c r="C39" s="5"/>
      <c r="D39" s="5"/>
      <c r="E39" s="5"/>
      <c r="F39" s="12"/>
    </row>
    <row r="40" spans="1:7">
      <c r="A40" s="363" t="s">
        <v>506</v>
      </c>
      <c r="B40" s="363"/>
      <c r="C40" s="363"/>
      <c r="D40" s="363"/>
      <c r="E40" s="363"/>
      <c r="F40" s="12"/>
    </row>
    <row r="41" spans="1:7">
      <c r="A41" s="387" t="s">
        <v>522</v>
      </c>
      <c r="B41" s="401"/>
      <c r="C41" s="401"/>
      <c r="D41" s="401"/>
      <c r="E41" s="401"/>
      <c r="F41" s="401"/>
      <c r="G41" s="401"/>
    </row>
    <row r="42" spans="1:7" ht="25.5" customHeight="1">
      <c r="A42" s="361" t="s">
        <v>525</v>
      </c>
      <c r="B42" s="361"/>
      <c r="C42" s="361"/>
      <c r="D42" s="361"/>
      <c r="E42" s="361"/>
      <c r="F42" s="361"/>
      <c r="G42" s="361"/>
    </row>
    <row r="43" spans="1:7">
      <c r="F43" s="12"/>
    </row>
    <row r="44" spans="1:7">
      <c r="A44" s="9" t="s">
        <v>184</v>
      </c>
      <c r="F44" s="12"/>
    </row>
    <row r="45" spans="1:7">
      <c r="A45" s="364" t="s">
        <v>197</v>
      </c>
      <c r="B45" s="364"/>
      <c r="F45" s="12"/>
    </row>
  </sheetData>
  <customSheetViews>
    <customSheetView guid="{9E4C61FA-E6D1-438A-8921-8C22C886D6BA}" showRuler="0">
      <selection activeCell="A6" sqref="A6"/>
      <pageMargins left="0.78740157499999996" right="0.78740157499999996" top="0.984251969" bottom="0.984251969" header="0.4921259845" footer="0.4921259845"/>
      <pageSetup paperSize="9" orientation="portrait" r:id="rId1"/>
      <headerFooter alignWithMargins="0"/>
    </customSheetView>
  </customSheetViews>
  <mergeCells count="6">
    <mergeCell ref="A1:G1"/>
    <mergeCell ref="A42:G42"/>
    <mergeCell ref="A45:B45"/>
    <mergeCell ref="A2:F2"/>
    <mergeCell ref="A40:E40"/>
    <mergeCell ref="A41:G4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5"/>
  <sheetViews>
    <sheetView zoomScaleNormal="100" workbookViewId="0">
      <selection activeCell="F36" sqref="F36"/>
    </sheetView>
  </sheetViews>
  <sheetFormatPr baseColWidth="10" defaultRowHeight="12.75"/>
  <cols>
    <col min="1" max="1" width="11.140625" style="10" customWidth="1"/>
    <col min="2" max="2" width="15.7109375" customWidth="1"/>
    <col min="3" max="3" width="8" customWidth="1"/>
    <col min="4" max="4" width="18.28515625" customWidth="1"/>
    <col min="5" max="5" width="8.42578125" customWidth="1"/>
    <col min="6" max="6" width="15.7109375" customWidth="1"/>
    <col min="7" max="7" width="8.42578125" customWidth="1"/>
  </cols>
  <sheetData>
    <row r="1" spans="1:7" ht="15">
      <c r="A1" s="360" t="s">
        <v>331</v>
      </c>
      <c r="B1" s="360"/>
      <c r="C1" s="360"/>
      <c r="D1" s="360"/>
      <c r="E1" s="360"/>
      <c r="F1" s="360"/>
      <c r="G1" s="360"/>
    </row>
    <row r="2" spans="1:7">
      <c r="A2" s="387" t="s">
        <v>313</v>
      </c>
      <c r="B2" s="387"/>
      <c r="C2" s="387"/>
      <c r="D2" s="387"/>
      <c r="E2" s="387"/>
      <c r="F2" s="387"/>
      <c r="G2" s="2" t="s">
        <v>358</v>
      </c>
    </row>
    <row r="3" spans="1:7" ht="13.5" thickBot="1">
      <c r="A3" s="66"/>
    </row>
    <row r="4" spans="1:7" ht="25.5">
      <c r="A4" s="285" t="s">
        <v>265</v>
      </c>
      <c r="B4" s="285" t="s">
        <v>83</v>
      </c>
      <c r="C4" s="282" t="s">
        <v>295</v>
      </c>
      <c r="D4" s="286" t="s">
        <v>9</v>
      </c>
      <c r="E4" s="282" t="s">
        <v>295</v>
      </c>
      <c r="F4" s="286" t="s">
        <v>10</v>
      </c>
      <c r="G4" s="282" t="s">
        <v>295</v>
      </c>
    </row>
    <row r="5" spans="1:7">
      <c r="A5" s="233"/>
      <c r="B5" s="17"/>
      <c r="C5" s="17"/>
      <c r="D5" s="17"/>
      <c r="E5" s="17"/>
      <c r="F5" s="122"/>
      <c r="G5" s="17"/>
    </row>
    <row r="6" spans="1:7">
      <c r="A6" s="233">
        <v>1990</v>
      </c>
      <c r="B6" s="59">
        <v>1231367.5</v>
      </c>
      <c r="C6" s="18">
        <v>-0.74329746671649366</v>
      </c>
      <c r="D6" s="87" t="s">
        <v>110</v>
      </c>
      <c r="E6" s="126" t="s">
        <v>116</v>
      </c>
      <c r="F6" s="59">
        <v>21667114.140000001</v>
      </c>
      <c r="G6" s="18">
        <v>-0.23624983346169381</v>
      </c>
    </row>
    <row r="7" spans="1:7" s="5" customFormat="1">
      <c r="A7" s="239">
        <v>1991</v>
      </c>
      <c r="B7" s="283">
        <v>3428961.15</v>
      </c>
      <c r="C7" s="18">
        <f t="shared" ref="C7:C23" si="0">B7/B6-1</f>
        <v>1.7846773201339161</v>
      </c>
      <c r="D7" s="87" t="s">
        <v>110</v>
      </c>
      <c r="E7" s="126" t="s">
        <v>116</v>
      </c>
      <c r="F7" s="283">
        <v>17574877.100000001</v>
      </c>
      <c r="G7" s="18">
        <f t="shared" ref="G7:G23" si="1">F7/F6-1</f>
        <v>-0.18886857813912816</v>
      </c>
    </row>
    <row r="8" spans="1:7">
      <c r="A8" s="233">
        <v>1992</v>
      </c>
      <c r="B8" s="60">
        <v>3268446.65</v>
      </c>
      <c r="C8" s="18">
        <f t="shared" si="0"/>
        <v>-4.6811408172413915E-2</v>
      </c>
      <c r="D8" s="87" t="s">
        <v>110</v>
      </c>
      <c r="E8" s="126" t="s">
        <v>116</v>
      </c>
      <c r="F8" s="87">
        <v>20750004.899999999</v>
      </c>
      <c r="G8" s="18">
        <f t="shared" si="1"/>
        <v>0.18066287359699351</v>
      </c>
    </row>
    <row r="9" spans="1:7">
      <c r="A9" s="233">
        <v>1993</v>
      </c>
      <c r="B9" s="60">
        <v>3602592.85</v>
      </c>
      <c r="C9" s="18">
        <f t="shared" si="0"/>
        <v>0.10223394651401163</v>
      </c>
      <c r="D9" s="87" t="s">
        <v>110</v>
      </c>
      <c r="E9" s="126" t="s">
        <v>116</v>
      </c>
      <c r="F9" s="87">
        <v>29412384.199999999</v>
      </c>
      <c r="G9" s="18">
        <f t="shared" si="1"/>
        <v>0.41746396406875075</v>
      </c>
    </row>
    <row r="10" spans="1:7">
      <c r="A10" s="233">
        <v>1994</v>
      </c>
      <c r="B10" s="60">
        <v>1901875</v>
      </c>
      <c r="C10" s="134" t="s">
        <v>116</v>
      </c>
      <c r="D10" s="60">
        <v>690422.8</v>
      </c>
      <c r="E10" s="126" t="s">
        <v>116</v>
      </c>
      <c r="F10" s="283">
        <v>24153790.02</v>
      </c>
      <c r="G10" s="18">
        <f t="shared" si="1"/>
        <v>-0.17878843633492314</v>
      </c>
    </row>
    <row r="11" spans="1:7">
      <c r="A11" s="233">
        <v>1995</v>
      </c>
      <c r="B11" s="60">
        <v>551691.85</v>
      </c>
      <c r="C11" s="18">
        <f t="shared" si="0"/>
        <v>-0.70992212947748934</v>
      </c>
      <c r="D11" s="60">
        <v>269067.8</v>
      </c>
      <c r="E11" s="18">
        <f t="shared" ref="E11:E23" si="2">D11/D10-1</f>
        <v>-0.61028546565959296</v>
      </c>
      <c r="F11" s="283">
        <v>19983853.82</v>
      </c>
      <c r="G11" s="18">
        <f t="shared" si="1"/>
        <v>-0.17264107192068734</v>
      </c>
    </row>
    <row r="12" spans="1:7">
      <c r="A12" s="233">
        <v>1996</v>
      </c>
      <c r="B12" s="60">
        <v>3838252.05</v>
      </c>
      <c r="C12" s="18">
        <f t="shared" si="0"/>
        <v>5.9572389912955934</v>
      </c>
      <c r="D12" s="60">
        <v>862173</v>
      </c>
      <c r="E12" s="18">
        <f t="shared" si="2"/>
        <v>2.2042964635679185</v>
      </c>
      <c r="F12" s="283">
        <v>26310243.48</v>
      </c>
      <c r="G12" s="18">
        <f t="shared" si="1"/>
        <v>0.3165750568926049</v>
      </c>
    </row>
    <row r="13" spans="1:7">
      <c r="A13" s="233">
        <v>1997</v>
      </c>
      <c r="B13" s="283">
        <v>5899893.7000000002</v>
      </c>
      <c r="C13" s="18">
        <f t="shared" si="0"/>
        <v>0.53713034556967165</v>
      </c>
      <c r="D13" s="283">
        <v>547436.19999999995</v>
      </c>
      <c r="E13" s="18">
        <f t="shared" si="2"/>
        <v>-0.36505063368952639</v>
      </c>
      <c r="F13" s="283">
        <v>35463302.140000001</v>
      </c>
      <c r="G13" s="18">
        <f t="shared" si="1"/>
        <v>0.34788954602255173</v>
      </c>
    </row>
    <row r="14" spans="1:7">
      <c r="A14" s="233">
        <v>1998</v>
      </c>
      <c r="B14" s="60">
        <v>7697778.2999999998</v>
      </c>
      <c r="C14" s="18">
        <f t="shared" si="0"/>
        <v>0.30473169372526154</v>
      </c>
      <c r="D14" s="60">
        <v>2692609.15</v>
      </c>
      <c r="E14" s="18">
        <f t="shared" si="2"/>
        <v>3.9185807405502233</v>
      </c>
      <c r="F14" s="283">
        <v>53894337.590000004</v>
      </c>
      <c r="G14" s="18">
        <f t="shared" si="1"/>
        <v>0.51972135525448282</v>
      </c>
    </row>
    <row r="15" spans="1:7">
      <c r="A15" s="233">
        <v>1999</v>
      </c>
      <c r="B15" s="60">
        <v>2107832.4</v>
      </c>
      <c r="C15" s="18">
        <f t="shared" si="0"/>
        <v>-0.72617652550476808</v>
      </c>
      <c r="D15" s="60">
        <v>795983.15</v>
      </c>
      <c r="E15" s="18">
        <f t="shared" si="2"/>
        <v>-0.70438221603755591</v>
      </c>
      <c r="F15" s="283">
        <v>57330901.649999999</v>
      </c>
      <c r="G15" s="18">
        <f t="shared" si="1"/>
        <v>6.3764844576875257E-2</v>
      </c>
    </row>
    <row r="16" spans="1:7">
      <c r="A16" s="233">
        <v>2000</v>
      </c>
      <c r="B16" s="60">
        <v>2379801.2999999998</v>
      </c>
      <c r="C16" s="18">
        <f t="shared" si="0"/>
        <v>0.12902776330793664</v>
      </c>
      <c r="D16" s="60">
        <v>1267756.6499999999</v>
      </c>
      <c r="E16" s="18">
        <f t="shared" si="2"/>
        <v>0.59269282270610857</v>
      </c>
      <c r="F16" s="283">
        <v>106911313.7</v>
      </c>
      <c r="G16" s="18">
        <f t="shared" si="1"/>
        <v>0.86481130809147166</v>
      </c>
    </row>
    <row r="17" spans="1:7">
      <c r="A17" s="233">
        <v>2001</v>
      </c>
      <c r="B17" s="60">
        <v>1773368.11</v>
      </c>
      <c r="C17" s="18">
        <f t="shared" si="0"/>
        <v>-0.25482513603131474</v>
      </c>
      <c r="D17" s="60">
        <v>2172902.35</v>
      </c>
      <c r="E17" s="18">
        <f t="shared" si="2"/>
        <v>0.71397432622420109</v>
      </c>
      <c r="F17" s="283">
        <v>59843392.479999997</v>
      </c>
      <c r="G17" s="18">
        <f t="shared" si="1"/>
        <v>-0.44025201441332584</v>
      </c>
    </row>
    <row r="18" spans="1:7">
      <c r="A18" s="233">
        <v>2002</v>
      </c>
      <c r="B18" s="60">
        <v>13935209.4</v>
      </c>
      <c r="C18" s="18">
        <f t="shared" si="0"/>
        <v>6.858046686088203</v>
      </c>
      <c r="D18" s="60">
        <v>1090173.1000000001</v>
      </c>
      <c r="E18" s="18">
        <f t="shared" si="2"/>
        <v>-0.49828711814868254</v>
      </c>
      <c r="F18" s="283">
        <v>39609535.289999999</v>
      </c>
      <c r="G18" s="18">
        <f t="shared" si="1"/>
        <v>-0.3381134717047044</v>
      </c>
    </row>
    <row r="19" spans="1:7">
      <c r="A19" s="233">
        <v>2003</v>
      </c>
      <c r="B19" s="60">
        <v>1928828.76</v>
      </c>
      <c r="C19" s="18">
        <f t="shared" si="0"/>
        <v>-0.8615859507643997</v>
      </c>
      <c r="D19" s="60">
        <v>1147116.3999999999</v>
      </c>
      <c r="E19" s="18">
        <f t="shared" si="2"/>
        <v>5.2233264607244312E-2</v>
      </c>
      <c r="F19" s="283">
        <v>39039649.049999997</v>
      </c>
      <c r="G19" s="18">
        <f t="shared" si="1"/>
        <v>-1.4387602273735256E-2</v>
      </c>
    </row>
    <row r="20" spans="1:7">
      <c r="A20" s="233">
        <v>2004</v>
      </c>
      <c r="B20" s="60">
        <v>959611.15</v>
      </c>
      <c r="C20" s="18">
        <f t="shared" si="0"/>
        <v>-0.50249023142935711</v>
      </c>
      <c r="D20" s="60">
        <v>1358059.45</v>
      </c>
      <c r="E20" s="18">
        <f t="shared" si="2"/>
        <v>0.18388983890388122</v>
      </c>
      <c r="F20" s="283">
        <v>41646841.159999996</v>
      </c>
      <c r="G20" s="18">
        <f t="shared" si="1"/>
        <v>6.6783185132141876E-2</v>
      </c>
    </row>
    <row r="21" spans="1:7">
      <c r="A21" s="233">
        <v>2005</v>
      </c>
      <c r="B21" s="60">
        <v>7910276.0700000003</v>
      </c>
      <c r="C21" s="18">
        <f t="shared" si="0"/>
        <v>7.2432098355672512</v>
      </c>
      <c r="D21" s="60">
        <v>808195.1</v>
      </c>
      <c r="E21" s="18">
        <f t="shared" si="2"/>
        <v>-0.40488974911959852</v>
      </c>
      <c r="F21" s="60">
        <v>50276793.640000001</v>
      </c>
      <c r="G21" s="18">
        <f t="shared" si="1"/>
        <v>0.20721745610537923</v>
      </c>
    </row>
    <row r="22" spans="1:7">
      <c r="A22" s="233">
        <v>2006</v>
      </c>
      <c r="B22" s="60">
        <v>3013845.35</v>
      </c>
      <c r="C22" s="18">
        <f t="shared" si="0"/>
        <v>-0.61899618631135844</v>
      </c>
      <c r="D22" s="60">
        <v>3748206.4</v>
      </c>
      <c r="E22" s="18">
        <f t="shared" si="2"/>
        <v>3.6377494741059433</v>
      </c>
      <c r="F22" s="60">
        <v>65435585.519999996</v>
      </c>
      <c r="G22" s="18">
        <f t="shared" si="1"/>
        <v>0.30150673466853162</v>
      </c>
    </row>
    <row r="23" spans="1:7">
      <c r="A23" s="233">
        <v>2007</v>
      </c>
      <c r="B23" s="60">
        <v>4172234.2</v>
      </c>
      <c r="C23" s="18">
        <f t="shared" si="0"/>
        <v>0.38435576994685539</v>
      </c>
      <c r="D23" s="60">
        <v>2857236.35</v>
      </c>
      <c r="E23" s="18">
        <f t="shared" si="2"/>
        <v>-0.23770570638799393</v>
      </c>
      <c r="F23" s="60">
        <v>66680255.560000002</v>
      </c>
      <c r="G23" s="18">
        <f t="shared" si="1"/>
        <v>1.9021302095930448E-2</v>
      </c>
    </row>
    <row r="24" spans="1:7">
      <c r="A24" s="233">
        <v>2008</v>
      </c>
      <c r="B24" s="60">
        <v>9045496.1500000004</v>
      </c>
      <c r="C24" s="18">
        <f t="shared" ref="C24:C29" si="3">B24/B23-1</f>
        <v>1.1680221474623838</v>
      </c>
      <c r="D24" s="60">
        <v>3504879.25</v>
      </c>
      <c r="E24" s="18">
        <f t="shared" ref="E24:E31" si="4">D24/D23-1</f>
        <v>0.22666759786952873</v>
      </c>
      <c r="F24" s="60">
        <v>64117183.960000001</v>
      </c>
      <c r="G24" s="18">
        <f t="shared" ref="G24:G36" si="5">F24/F23-1</f>
        <v>-3.8438239003053987E-2</v>
      </c>
    </row>
    <row r="25" spans="1:7">
      <c r="A25" s="233">
        <v>2009</v>
      </c>
      <c r="B25" s="60">
        <v>7060961.75</v>
      </c>
      <c r="C25" s="18">
        <f t="shared" si="3"/>
        <v>-0.21939475370845196</v>
      </c>
      <c r="D25" s="60">
        <v>1757682.1</v>
      </c>
      <c r="E25" s="18">
        <f t="shared" si="4"/>
        <v>-0.49850423520296738</v>
      </c>
      <c r="F25" s="60">
        <v>50857994.710000001</v>
      </c>
      <c r="G25" s="18">
        <f t="shared" si="5"/>
        <v>-0.20679618833964775</v>
      </c>
    </row>
    <row r="26" spans="1:7">
      <c r="A26" s="233">
        <v>2010</v>
      </c>
      <c r="B26" s="60">
        <v>22930810.649999999</v>
      </c>
      <c r="C26" s="18">
        <f t="shared" si="3"/>
        <v>2.2475477791676179</v>
      </c>
      <c r="D26" s="60">
        <v>2472500.4500000002</v>
      </c>
      <c r="E26" s="18">
        <f t="shared" si="4"/>
        <v>0.40668238585350558</v>
      </c>
      <c r="F26" s="60">
        <v>55235942.560000002</v>
      </c>
      <c r="G26" s="18">
        <f t="shared" si="5"/>
        <v>8.6081802378637384E-2</v>
      </c>
    </row>
    <row r="27" spans="1:7">
      <c r="A27" s="233">
        <v>2011</v>
      </c>
      <c r="B27" s="60">
        <v>1441328.1</v>
      </c>
      <c r="C27" s="18">
        <f t="shared" si="3"/>
        <v>-0.93714447683514401</v>
      </c>
      <c r="D27" s="60">
        <v>919556.35</v>
      </c>
      <c r="E27" s="18">
        <f t="shared" si="4"/>
        <v>-0.62808647820468555</v>
      </c>
      <c r="F27" s="60">
        <v>49122553.910000004</v>
      </c>
      <c r="G27" s="18">
        <f t="shared" si="5"/>
        <v>-0.11067772842582224</v>
      </c>
    </row>
    <row r="28" spans="1:7">
      <c r="A28" s="233">
        <v>2012</v>
      </c>
      <c r="B28" s="60">
        <v>20975.45</v>
      </c>
      <c r="C28" s="18">
        <f t="shared" si="3"/>
        <v>-0.98544713726180733</v>
      </c>
      <c r="D28" s="60">
        <v>673247.25</v>
      </c>
      <c r="E28" s="18">
        <f t="shared" si="4"/>
        <v>-0.26785645055901142</v>
      </c>
      <c r="F28" s="60">
        <v>39379061.82</v>
      </c>
      <c r="G28" s="18">
        <f t="shared" si="5"/>
        <v>-0.1983506824146718</v>
      </c>
    </row>
    <row r="29" spans="1:7">
      <c r="A29" s="233">
        <v>2013</v>
      </c>
      <c r="B29" s="39">
        <v>0</v>
      </c>
      <c r="C29" s="18">
        <f t="shared" si="3"/>
        <v>-1</v>
      </c>
      <c r="D29" s="60">
        <v>304441.65000000002</v>
      </c>
      <c r="E29" s="18">
        <f t="shared" si="4"/>
        <v>-0.54780112358424038</v>
      </c>
      <c r="F29" s="60">
        <v>40341226.82</v>
      </c>
      <c r="G29" s="18">
        <f t="shared" si="5"/>
        <v>2.4433416021895527E-2</v>
      </c>
    </row>
    <row r="30" spans="1:7">
      <c r="A30" s="233">
        <v>2014</v>
      </c>
      <c r="B30" s="39">
        <v>0</v>
      </c>
      <c r="C30" s="126" t="s">
        <v>116</v>
      </c>
      <c r="D30" s="60">
        <v>332526</v>
      </c>
      <c r="E30" s="18">
        <f t="shared" si="4"/>
        <v>9.2248711698941221E-2</v>
      </c>
      <c r="F30" s="60">
        <v>41803305.829999998</v>
      </c>
      <c r="G30" s="18">
        <f t="shared" si="5"/>
        <v>3.6242799866342823E-2</v>
      </c>
    </row>
    <row r="31" spans="1:7">
      <c r="A31" s="233">
        <v>2015</v>
      </c>
      <c r="B31" s="39">
        <v>0</v>
      </c>
      <c r="C31" s="126" t="s">
        <v>116</v>
      </c>
      <c r="D31" s="60">
        <v>15470</v>
      </c>
      <c r="E31" s="18">
        <f t="shared" si="4"/>
        <v>-0.95347732207406333</v>
      </c>
      <c r="F31" s="60">
        <v>41436366</v>
      </c>
      <c r="G31" s="18">
        <f t="shared" si="5"/>
        <v>-8.7777706263763022E-3</v>
      </c>
    </row>
    <row r="32" spans="1:7">
      <c r="A32" s="233">
        <v>2016</v>
      </c>
      <c r="B32" s="39">
        <v>0</v>
      </c>
      <c r="C32" s="126" t="s">
        <v>116</v>
      </c>
      <c r="D32" s="39">
        <v>0</v>
      </c>
      <c r="E32" s="18">
        <f>D32/D31-1</f>
        <v>-1</v>
      </c>
      <c r="F32" s="60">
        <v>40185921.960000001</v>
      </c>
      <c r="G32" s="18">
        <f t="shared" si="5"/>
        <v>-3.0177454268069726E-2</v>
      </c>
    </row>
    <row r="33" spans="1:7">
      <c r="A33" s="233">
        <v>2017</v>
      </c>
      <c r="B33" s="39">
        <v>0</v>
      </c>
      <c r="C33" s="126" t="s">
        <v>116</v>
      </c>
      <c r="D33" s="39">
        <v>0</v>
      </c>
      <c r="E33" s="126" t="s">
        <v>116</v>
      </c>
      <c r="F33" s="60">
        <v>45844904.57</v>
      </c>
      <c r="G33" s="18">
        <f t="shared" si="5"/>
        <v>0.14082002686495043</v>
      </c>
    </row>
    <row r="34" spans="1:7">
      <c r="A34" s="233">
        <v>2018</v>
      </c>
      <c r="B34" s="39">
        <v>0</v>
      </c>
      <c r="C34" s="126" t="s">
        <v>116</v>
      </c>
      <c r="D34" s="39">
        <v>0</v>
      </c>
      <c r="E34" s="126" t="s">
        <v>116</v>
      </c>
      <c r="F34" s="60">
        <v>44976939</v>
      </c>
      <c r="G34" s="18">
        <f t="shared" si="5"/>
        <v>-1.8932650817818031E-2</v>
      </c>
    </row>
    <row r="35" spans="1:7">
      <c r="A35" s="233">
        <v>2019</v>
      </c>
      <c r="B35" s="39">
        <v>0</v>
      </c>
      <c r="C35" s="126" t="s">
        <v>116</v>
      </c>
      <c r="D35" s="39">
        <v>0</v>
      </c>
      <c r="E35" s="126" t="s">
        <v>116</v>
      </c>
      <c r="F35" s="60">
        <v>43869354</v>
      </c>
      <c r="G35" s="18">
        <f>F35/F34-1</f>
        <v>-2.4625619809298227E-2</v>
      </c>
    </row>
    <row r="36" spans="1:7">
      <c r="A36" s="233">
        <v>2020</v>
      </c>
      <c r="B36" s="39">
        <v>0</v>
      </c>
      <c r="C36" s="126" t="s">
        <v>116</v>
      </c>
      <c r="D36" s="39">
        <v>0</v>
      </c>
      <c r="E36" s="126" t="s">
        <v>116</v>
      </c>
      <c r="F36" s="60">
        <v>52502394</v>
      </c>
      <c r="G36" s="18">
        <f t="shared" si="5"/>
        <v>0.19678976809186666</v>
      </c>
    </row>
    <row r="37" spans="1:7">
      <c r="A37" s="239"/>
      <c r="B37" s="60"/>
      <c r="C37" s="171"/>
      <c r="D37" s="60"/>
      <c r="E37" s="171"/>
      <c r="F37" s="60"/>
      <c r="G37" s="17"/>
    </row>
    <row r="38" spans="1:7" ht="13.5" thickBot="1">
      <c r="A38" s="284" t="s">
        <v>104</v>
      </c>
      <c r="B38" s="173"/>
      <c r="C38" s="287" t="s">
        <v>116</v>
      </c>
      <c r="D38" s="173"/>
      <c r="E38" s="287" t="s">
        <v>116</v>
      </c>
      <c r="F38" s="132"/>
      <c r="G38" s="112">
        <f>(F36/F6)^(1/30)-1</f>
        <v>2.994160297925208E-2</v>
      </c>
    </row>
    <row r="39" spans="1:7">
      <c r="A39" s="11"/>
      <c r="B39" s="5"/>
      <c r="C39" s="5"/>
      <c r="D39" s="5"/>
      <c r="E39" s="5"/>
      <c r="F39" s="5"/>
    </row>
    <row r="40" spans="1:7">
      <c r="A40" s="363" t="s">
        <v>506</v>
      </c>
      <c r="B40" s="363"/>
      <c r="C40" s="363"/>
      <c r="D40" s="363"/>
      <c r="E40" s="363"/>
    </row>
    <row r="41" spans="1:7" ht="26.25" customHeight="1">
      <c r="A41" s="385" t="s">
        <v>605</v>
      </c>
      <c r="B41" s="385"/>
      <c r="C41" s="385"/>
      <c r="D41" s="385"/>
      <c r="E41" s="385"/>
      <c r="F41" s="385"/>
      <c r="G41" s="385"/>
    </row>
    <row r="42" spans="1:7" ht="25.5" customHeight="1">
      <c r="A42" s="361" t="s">
        <v>604</v>
      </c>
      <c r="B42" s="370"/>
      <c r="C42" s="370"/>
      <c r="D42" s="370"/>
      <c r="E42" s="370"/>
      <c r="F42" s="370"/>
      <c r="G42" s="370"/>
    </row>
    <row r="44" spans="1:7">
      <c r="A44" s="9" t="s">
        <v>184</v>
      </c>
    </row>
    <row r="45" spans="1:7">
      <c r="A45" s="364" t="s">
        <v>197</v>
      </c>
      <c r="B45" s="364"/>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6">
    <mergeCell ref="A45:B45"/>
    <mergeCell ref="A1:G1"/>
    <mergeCell ref="A41:G41"/>
    <mergeCell ref="A2:F2"/>
    <mergeCell ref="A40:E40"/>
    <mergeCell ref="A42:G42"/>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6"/>
  <sheetViews>
    <sheetView zoomScaleNormal="100" workbookViewId="0">
      <selection activeCell="D37" sqref="D37"/>
    </sheetView>
  </sheetViews>
  <sheetFormatPr baseColWidth="10" defaultRowHeight="12.75"/>
  <cols>
    <col min="1" max="1" width="11.140625" style="10" customWidth="1"/>
    <col min="2" max="2" width="18.28515625" customWidth="1"/>
    <col min="3" max="3" width="8.85546875" customWidth="1"/>
    <col min="4" max="4" width="15.7109375" customWidth="1"/>
    <col min="5" max="5" width="8.85546875" customWidth="1"/>
    <col min="6" max="6" width="15.7109375" customWidth="1"/>
    <col min="7" max="7" width="8.42578125" customWidth="1"/>
  </cols>
  <sheetData>
    <row r="1" spans="1:7" ht="30" customHeight="1">
      <c r="A1" s="396" t="s">
        <v>746</v>
      </c>
      <c r="B1" s="396"/>
      <c r="C1" s="396"/>
      <c r="D1" s="396"/>
      <c r="E1" s="396"/>
      <c r="F1" s="396"/>
      <c r="G1" s="396"/>
    </row>
    <row r="2" spans="1:7">
      <c r="A2" s="387" t="s">
        <v>313</v>
      </c>
      <c r="B2" s="387"/>
      <c r="C2" s="387"/>
      <c r="D2" s="387"/>
      <c r="E2" s="387"/>
      <c r="G2" s="2" t="s">
        <v>359</v>
      </c>
    </row>
    <row r="3" spans="1:7">
      <c r="A3" s="66"/>
    </row>
    <row r="4" spans="1:7" ht="13.5" thickBot="1"/>
    <row r="5" spans="1:7" ht="25.5">
      <c r="A5" s="285" t="s">
        <v>265</v>
      </c>
      <c r="B5" s="285" t="s">
        <v>107</v>
      </c>
      <c r="C5" s="282" t="s">
        <v>295</v>
      </c>
      <c r="D5" s="285" t="s">
        <v>267</v>
      </c>
      <c r="E5" s="282" t="s">
        <v>295</v>
      </c>
      <c r="F5" s="285" t="s">
        <v>268</v>
      </c>
      <c r="G5" s="282" t="s">
        <v>295</v>
      </c>
    </row>
    <row r="6" spans="1:7">
      <c r="A6" s="233"/>
      <c r="B6" s="59"/>
      <c r="C6" s="17"/>
      <c r="D6" s="59"/>
      <c r="E6" s="17"/>
      <c r="F6" s="288"/>
      <c r="G6" s="17"/>
    </row>
    <row r="7" spans="1:7">
      <c r="A7" s="233">
        <v>1990</v>
      </c>
      <c r="B7" s="59">
        <v>2308177.2999999998</v>
      </c>
      <c r="C7" s="18">
        <v>-6.0993032212563913E-2</v>
      </c>
      <c r="D7" s="59">
        <v>38761891</v>
      </c>
      <c r="E7" s="18">
        <v>9.0377229330785402E-2</v>
      </c>
      <c r="F7" s="59">
        <v>1785653.25</v>
      </c>
      <c r="G7" s="18">
        <v>7.3482062514999225E-2</v>
      </c>
    </row>
    <row r="8" spans="1:7">
      <c r="A8" s="233">
        <v>1991</v>
      </c>
      <c r="B8" s="283">
        <v>2249609.1</v>
      </c>
      <c r="C8" s="18">
        <f t="shared" ref="C8:C24" si="0">B8/B7-1</f>
        <v>-2.5374220602550679E-2</v>
      </c>
      <c r="D8" s="283">
        <v>39015717</v>
      </c>
      <c r="E8" s="18">
        <f t="shared" ref="E8:E24" si="1">D8/D7-1</f>
        <v>6.5483389342382292E-3</v>
      </c>
      <c r="F8" s="283">
        <v>1798626.05</v>
      </c>
      <c r="G8" s="18">
        <f t="shared" ref="G8:G24" si="2">F8/F7-1</f>
        <v>7.265016318257711E-3</v>
      </c>
    </row>
    <row r="9" spans="1:7">
      <c r="A9" s="233">
        <v>1992</v>
      </c>
      <c r="B9" s="60">
        <v>2270496.9</v>
      </c>
      <c r="C9" s="18">
        <f t="shared" si="0"/>
        <v>9.2850797945296382E-3</v>
      </c>
      <c r="D9" s="60">
        <v>44070064</v>
      </c>
      <c r="E9" s="18">
        <f t="shared" si="1"/>
        <v>0.1295464338128145</v>
      </c>
      <c r="F9" s="283">
        <v>1883955.9</v>
      </c>
      <c r="G9" s="18">
        <f t="shared" si="2"/>
        <v>4.7441684723736666E-2</v>
      </c>
    </row>
    <row r="10" spans="1:7">
      <c r="A10" s="233">
        <v>1993</v>
      </c>
      <c r="B10" s="60">
        <v>2413757.5</v>
      </c>
      <c r="C10" s="18">
        <f t="shared" si="0"/>
        <v>6.3096584716763937E-2</v>
      </c>
      <c r="D10" s="60">
        <v>39003152</v>
      </c>
      <c r="E10" s="18">
        <f t="shared" si="1"/>
        <v>-0.11497401047568256</v>
      </c>
      <c r="F10" s="283">
        <v>2163389.7000000002</v>
      </c>
      <c r="G10" s="18">
        <f t="shared" si="2"/>
        <v>0.14832289864109893</v>
      </c>
    </row>
    <row r="11" spans="1:7">
      <c r="A11" s="233">
        <v>1994</v>
      </c>
      <c r="B11" s="60">
        <v>2180707.1</v>
      </c>
      <c r="C11" s="18">
        <f t="shared" si="0"/>
        <v>-9.6550875553985782E-2</v>
      </c>
      <c r="D11" s="60">
        <v>38764720</v>
      </c>
      <c r="E11" s="18">
        <f t="shared" si="1"/>
        <v>-6.1131469579689401E-3</v>
      </c>
      <c r="F11" s="283">
        <v>2141637.15</v>
      </c>
      <c r="G11" s="18">
        <f t="shared" si="2"/>
        <v>-1.0054845874509E-2</v>
      </c>
    </row>
    <row r="12" spans="1:7">
      <c r="A12" s="233">
        <v>1995</v>
      </c>
      <c r="B12" s="60">
        <v>1887391.05</v>
      </c>
      <c r="C12" s="18">
        <f t="shared" si="0"/>
        <v>-0.13450501903717382</v>
      </c>
      <c r="D12" s="60">
        <v>84448704.840000004</v>
      </c>
      <c r="E12" s="126" t="s">
        <v>116</v>
      </c>
      <c r="F12" s="283">
        <v>2266661.0499999998</v>
      </c>
      <c r="G12" s="18">
        <f t="shared" si="2"/>
        <v>5.8377722855619929E-2</v>
      </c>
    </row>
    <row r="13" spans="1:7">
      <c r="A13" s="233">
        <v>1996</v>
      </c>
      <c r="B13" s="60">
        <v>2198638</v>
      </c>
      <c r="C13" s="18">
        <f t="shared" si="0"/>
        <v>0.16490856518578911</v>
      </c>
      <c r="D13" s="60">
        <v>107221042.59</v>
      </c>
      <c r="E13" s="18">
        <f t="shared" si="1"/>
        <v>0.26965881588291274</v>
      </c>
      <c r="F13" s="283">
        <v>2434826.11</v>
      </c>
      <c r="G13" s="18">
        <f t="shared" si="2"/>
        <v>7.4190651487129111E-2</v>
      </c>
    </row>
    <row r="14" spans="1:7">
      <c r="A14" s="233">
        <v>1997</v>
      </c>
      <c r="B14" s="283">
        <v>1855880.5</v>
      </c>
      <c r="C14" s="18">
        <f t="shared" si="0"/>
        <v>-0.1558953770470628</v>
      </c>
      <c r="D14" s="283">
        <v>117973894.45</v>
      </c>
      <c r="E14" s="18">
        <f t="shared" si="1"/>
        <v>0.10028676834562766</v>
      </c>
      <c r="F14" s="283">
        <v>2586026.2000000002</v>
      </c>
      <c r="G14" s="18">
        <f t="shared" si="2"/>
        <v>6.2098927467144849E-2</v>
      </c>
    </row>
    <row r="15" spans="1:7">
      <c r="A15" s="233">
        <v>1998</v>
      </c>
      <c r="B15" s="60">
        <v>1496336.5</v>
      </c>
      <c r="C15" s="18">
        <f t="shared" si="0"/>
        <v>-0.1937323011907286</v>
      </c>
      <c r="D15" s="60">
        <v>124418483.92</v>
      </c>
      <c r="E15" s="18">
        <f t="shared" si="1"/>
        <v>5.4627250376407366E-2</v>
      </c>
      <c r="F15" s="283">
        <v>2538789.2599999998</v>
      </c>
      <c r="G15" s="18">
        <f t="shared" si="2"/>
        <v>-1.8266226382393391E-2</v>
      </c>
    </row>
    <row r="16" spans="1:7">
      <c r="A16" s="233">
        <v>1999</v>
      </c>
      <c r="B16" s="60">
        <v>1250843.5</v>
      </c>
      <c r="C16" s="18">
        <f t="shared" si="0"/>
        <v>-0.16406269579068611</v>
      </c>
      <c r="D16" s="60">
        <v>139538194.78</v>
      </c>
      <c r="E16" s="18">
        <f t="shared" si="1"/>
        <v>0.12152302763729095</v>
      </c>
      <c r="F16" s="283">
        <v>2363731.69</v>
      </c>
      <c r="G16" s="18">
        <f t="shared" si="2"/>
        <v>-6.8953171008766523E-2</v>
      </c>
    </row>
    <row r="17" spans="1:7">
      <c r="A17" s="233">
        <v>2000</v>
      </c>
      <c r="B17" s="60">
        <v>1405891.3</v>
      </c>
      <c r="C17" s="18">
        <f t="shared" si="0"/>
        <v>0.12395459543899778</v>
      </c>
      <c r="D17" s="60">
        <v>161611260.78</v>
      </c>
      <c r="E17" s="18">
        <f t="shared" si="1"/>
        <v>0.15818655268402337</v>
      </c>
      <c r="F17" s="283">
        <v>2127341.96</v>
      </c>
      <c r="G17" s="18">
        <f t="shared" si="2"/>
        <v>-0.10000700629435655</v>
      </c>
    </row>
    <row r="18" spans="1:7">
      <c r="A18" s="233">
        <v>2001</v>
      </c>
      <c r="B18" s="60">
        <v>1352285.6</v>
      </c>
      <c r="C18" s="18">
        <f t="shared" si="0"/>
        <v>-3.8129334750133248E-2</v>
      </c>
      <c r="D18" s="60">
        <v>178200456.71000001</v>
      </c>
      <c r="E18" s="18">
        <f t="shared" si="1"/>
        <v>0.10264876253012312</v>
      </c>
      <c r="F18" s="283">
        <v>2453191.52</v>
      </c>
      <c r="G18" s="18">
        <f t="shared" si="2"/>
        <v>0.15317215855602262</v>
      </c>
    </row>
    <row r="19" spans="1:7">
      <c r="A19" s="233">
        <v>2002</v>
      </c>
      <c r="B19" s="60">
        <v>1127605</v>
      </c>
      <c r="C19" s="18">
        <f t="shared" si="0"/>
        <v>-0.16614877803919537</v>
      </c>
      <c r="D19" s="60">
        <v>170344235.69999999</v>
      </c>
      <c r="E19" s="18">
        <f t="shared" si="1"/>
        <v>-4.408642466492152E-2</v>
      </c>
      <c r="F19" s="283">
        <v>2918625.65</v>
      </c>
      <c r="G19" s="18">
        <f t="shared" si="2"/>
        <v>0.18972596562701294</v>
      </c>
    </row>
    <row r="20" spans="1:7">
      <c r="A20" s="233">
        <v>2003</v>
      </c>
      <c r="B20" s="60">
        <v>749716.5</v>
      </c>
      <c r="C20" s="18">
        <f t="shared" si="0"/>
        <v>-0.3351248885913064</v>
      </c>
      <c r="D20" s="60">
        <v>166786408.55000001</v>
      </c>
      <c r="E20" s="18">
        <f t="shared" si="1"/>
        <v>-2.0886102399530593E-2</v>
      </c>
      <c r="F20" s="283">
        <v>3101648.05</v>
      </c>
      <c r="G20" s="18">
        <f t="shared" si="2"/>
        <v>6.270841894369017E-2</v>
      </c>
    </row>
    <row r="21" spans="1:7">
      <c r="A21" s="233">
        <v>2004</v>
      </c>
      <c r="B21" s="60">
        <v>784613</v>
      </c>
      <c r="C21" s="18">
        <f t="shared" si="0"/>
        <v>4.6546261153382673E-2</v>
      </c>
      <c r="D21" s="60">
        <v>173311700.41999999</v>
      </c>
      <c r="E21" s="18">
        <f t="shared" si="1"/>
        <v>3.9123642787978197E-2</v>
      </c>
      <c r="F21" s="283">
        <v>2820952.32</v>
      </c>
      <c r="G21" s="18">
        <f t="shared" si="2"/>
        <v>-9.0498897835942449E-2</v>
      </c>
    </row>
    <row r="22" spans="1:7">
      <c r="A22" s="233">
        <v>2005</v>
      </c>
      <c r="B22" s="60">
        <v>1937464.85</v>
      </c>
      <c r="C22" s="18">
        <f t="shared" si="0"/>
        <v>1.4693254508910765</v>
      </c>
      <c r="D22" s="60">
        <v>173953048.58000001</v>
      </c>
      <c r="E22" s="18">
        <f t="shared" si="1"/>
        <v>3.7005473862745664E-3</v>
      </c>
      <c r="F22" s="283">
        <v>2836380.8</v>
      </c>
      <c r="G22" s="18">
        <f t="shared" si="2"/>
        <v>5.4692452228330968E-3</v>
      </c>
    </row>
    <row r="23" spans="1:7">
      <c r="A23" s="233">
        <v>2006</v>
      </c>
      <c r="B23" s="60">
        <v>1146633.8</v>
      </c>
      <c r="C23" s="18">
        <f t="shared" si="0"/>
        <v>-0.40817826965996318</v>
      </c>
      <c r="D23" s="60">
        <v>176399562.74000001</v>
      </c>
      <c r="E23" s="18">
        <f t="shared" si="1"/>
        <v>1.4064221236541607E-2</v>
      </c>
      <c r="F23" s="283">
        <v>2996129.45</v>
      </c>
      <c r="G23" s="18">
        <f t="shared" si="2"/>
        <v>5.6321298607013626E-2</v>
      </c>
    </row>
    <row r="24" spans="1:7">
      <c r="A24" s="233">
        <v>2007</v>
      </c>
      <c r="B24" s="60">
        <v>1002915.8</v>
      </c>
      <c r="C24" s="18">
        <f t="shared" si="0"/>
        <v>-0.12533905768345566</v>
      </c>
      <c r="D24" s="60">
        <v>195023007</v>
      </c>
      <c r="E24" s="18">
        <f t="shared" si="1"/>
        <v>0.10557534253896983</v>
      </c>
      <c r="F24" s="283">
        <v>2693132.39</v>
      </c>
      <c r="G24" s="18">
        <f t="shared" si="2"/>
        <v>-0.10112949558971829</v>
      </c>
    </row>
    <row r="25" spans="1:7">
      <c r="A25" s="233">
        <v>2008</v>
      </c>
      <c r="B25" s="60">
        <v>714668.3</v>
      </c>
      <c r="C25" s="18">
        <f t="shared" ref="C25:C37" si="3">B25/B24-1</f>
        <v>-0.2874094714631078</v>
      </c>
      <c r="D25" s="60">
        <v>212669456.97</v>
      </c>
      <c r="E25" s="18">
        <f t="shared" ref="E25:E37" si="4">D25/D24-1</f>
        <v>9.0483939517966627E-2</v>
      </c>
      <c r="F25" s="283">
        <v>3103991.35</v>
      </c>
      <c r="G25" s="18">
        <f>F25/F24-1</f>
        <v>0.15255802556368203</v>
      </c>
    </row>
    <row r="26" spans="1:7">
      <c r="A26" s="233">
        <v>2009</v>
      </c>
      <c r="B26" s="60">
        <v>562862</v>
      </c>
      <c r="C26" s="18">
        <f t="shared" si="3"/>
        <v>-0.21241504625292607</v>
      </c>
      <c r="D26" s="60">
        <v>206602079.81999999</v>
      </c>
      <c r="E26" s="18">
        <f t="shared" si="4"/>
        <v>-2.8529612274582061E-2</v>
      </c>
      <c r="F26" s="283">
        <v>2540418.35</v>
      </c>
      <c r="G26" s="18">
        <f>F26/F25-1</f>
        <v>-0.18156397246403411</v>
      </c>
    </row>
    <row r="27" spans="1:7">
      <c r="A27" s="233">
        <v>2010</v>
      </c>
      <c r="B27" s="60">
        <v>267220</v>
      </c>
      <c r="C27" s="18">
        <f t="shared" si="3"/>
        <v>-0.52524775166914806</v>
      </c>
      <c r="D27" s="60">
        <v>227357057.06999999</v>
      </c>
      <c r="E27" s="18">
        <f t="shared" si="4"/>
        <v>0.1004587043270937</v>
      </c>
      <c r="F27" s="283">
        <v>3465712.4</v>
      </c>
      <c r="G27" s="18">
        <f>F27/F26-1</f>
        <v>0.36422900582496576</v>
      </c>
    </row>
    <row r="28" spans="1:7">
      <c r="A28" s="233">
        <v>2011</v>
      </c>
      <c r="B28" s="60">
        <v>191841</v>
      </c>
      <c r="C28" s="18">
        <f t="shared" si="3"/>
        <v>-0.28208592171244662</v>
      </c>
      <c r="D28" s="60">
        <v>205809981.92000002</v>
      </c>
      <c r="E28" s="18">
        <f t="shared" si="4"/>
        <v>-9.4771965417224546E-2</v>
      </c>
      <c r="F28" s="283">
        <v>2965884</v>
      </c>
      <c r="G28" s="18">
        <f>F28/F27-1</f>
        <v>-0.14422096882591873</v>
      </c>
    </row>
    <row r="29" spans="1:7">
      <c r="A29" s="233">
        <v>2012</v>
      </c>
      <c r="B29" s="60">
        <v>182055</v>
      </c>
      <c r="C29" s="18">
        <f t="shared" si="3"/>
        <v>-5.1010993478974753E-2</v>
      </c>
      <c r="D29" s="60">
        <v>206783016.96000001</v>
      </c>
      <c r="E29" s="18">
        <f t="shared" si="4"/>
        <v>4.7278321047528049E-3</v>
      </c>
      <c r="F29" s="289">
        <v>0</v>
      </c>
      <c r="G29" s="18">
        <f>F29/F28-1</f>
        <v>-1</v>
      </c>
    </row>
    <row r="30" spans="1:7">
      <c r="A30" s="233">
        <v>2013</v>
      </c>
      <c r="B30" s="60">
        <v>142400</v>
      </c>
      <c r="C30" s="18">
        <f t="shared" si="3"/>
        <v>-0.21781879102469037</v>
      </c>
      <c r="D30" s="60">
        <v>191768524.53999999</v>
      </c>
      <c r="E30" s="18">
        <f t="shared" si="4"/>
        <v>-7.2609891473362165E-2</v>
      </c>
      <c r="F30" s="283">
        <v>26798</v>
      </c>
      <c r="G30" s="126" t="s">
        <v>116</v>
      </c>
    </row>
    <row r="31" spans="1:7">
      <c r="A31" s="233">
        <v>2014</v>
      </c>
      <c r="B31" s="60">
        <v>213603</v>
      </c>
      <c r="C31" s="18">
        <f t="shared" si="3"/>
        <v>0.50002106741573038</v>
      </c>
      <c r="D31" s="60">
        <v>175287888.24000001</v>
      </c>
      <c r="E31" s="18">
        <f t="shared" si="4"/>
        <v>-8.5940257086153715E-2</v>
      </c>
      <c r="F31" s="283">
        <v>115351</v>
      </c>
      <c r="G31" s="126" t="s">
        <v>116</v>
      </c>
    </row>
    <row r="32" spans="1:7">
      <c r="A32" s="233">
        <v>2015</v>
      </c>
      <c r="B32" s="60">
        <v>338602</v>
      </c>
      <c r="C32" s="18">
        <f t="shared" si="3"/>
        <v>0.58519309185732404</v>
      </c>
      <c r="D32" s="60">
        <v>185812862</v>
      </c>
      <c r="E32" s="18">
        <f t="shared" si="4"/>
        <v>6.0043930391753264E-2</v>
      </c>
      <c r="F32" s="289">
        <v>0</v>
      </c>
      <c r="G32" s="18">
        <f>F32/F31-1</f>
        <v>-1</v>
      </c>
    </row>
    <row r="33" spans="1:7">
      <c r="A33" s="233">
        <v>2016</v>
      </c>
      <c r="B33" s="60">
        <v>192089</v>
      </c>
      <c r="C33" s="18">
        <f t="shared" si="3"/>
        <v>-0.43269974778648679</v>
      </c>
      <c r="D33" s="60">
        <v>214645357</v>
      </c>
      <c r="E33" s="18">
        <f t="shared" si="4"/>
        <v>0.15516953288195956</v>
      </c>
      <c r="F33" s="289">
        <v>26</v>
      </c>
      <c r="G33" s="126" t="s">
        <v>116</v>
      </c>
    </row>
    <row r="34" spans="1:7">
      <c r="A34" s="233">
        <v>2017</v>
      </c>
      <c r="B34" s="60">
        <v>117104</v>
      </c>
      <c r="C34" s="18">
        <f t="shared" si="3"/>
        <v>-0.39036592412891946</v>
      </c>
      <c r="D34" s="60">
        <v>201314828</v>
      </c>
      <c r="E34" s="18">
        <f t="shared" si="4"/>
        <v>-6.2104902646461624E-2</v>
      </c>
      <c r="F34" s="289">
        <v>0</v>
      </c>
      <c r="G34" s="18">
        <f>F34/F33-1</f>
        <v>-1</v>
      </c>
    </row>
    <row r="35" spans="1:7">
      <c r="A35" s="233">
        <v>2018</v>
      </c>
      <c r="B35" s="60">
        <v>106932</v>
      </c>
      <c r="C35" s="18">
        <f t="shared" si="3"/>
        <v>-8.6862959420685892E-2</v>
      </c>
      <c r="D35" s="60">
        <v>204923887</v>
      </c>
      <c r="E35" s="18">
        <f t="shared" si="4"/>
        <v>1.7927437515929068E-2</v>
      </c>
      <c r="F35" s="289">
        <v>0</v>
      </c>
      <c r="G35" s="126" t="s">
        <v>116</v>
      </c>
    </row>
    <row r="36" spans="1:7">
      <c r="A36" s="233">
        <v>2019</v>
      </c>
      <c r="B36" s="60">
        <v>168456</v>
      </c>
      <c r="C36" s="18">
        <f>B36/B35-1</f>
        <v>0.5753563012007632</v>
      </c>
      <c r="D36" s="60">
        <v>223720682</v>
      </c>
      <c r="E36" s="18">
        <f>D36/D35-1</f>
        <v>9.1725739127718198E-2</v>
      </c>
      <c r="F36" s="289">
        <v>0</v>
      </c>
      <c r="G36" s="126" t="s">
        <v>116</v>
      </c>
    </row>
    <row r="37" spans="1:7">
      <c r="A37" s="233">
        <v>2020</v>
      </c>
      <c r="B37" s="60">
        <v>114245</v>
      </c>
      <c r="C37" s="18">
        <f t="shared" si="3"/>
        <v>-0.32181103670988265</v>
      </c>
      <c r="D37" s="60">
        <v>220301763</v>
      </c>
      <c r="E37" s="18">
        <f t="shared" si="4"/>
        <v>-1.5282087330665273E-2</v>
      </c>
      <c r="F37" s="289">
        <v>0</v>
      </c>
      <c r="G37" s="126" t="s">
        <v>116</v>
      </c>
    </row>
    <row r="38" spans="1:7">
      <c r="A38" s="239"/>
      <c r="B38" s="60"/>
      <c r="C38" s="171"/>
      <c r="D38" s="130"/>
      <c r="E38" s="171"/>
      <c r="F38" s="60"/>
      <c r="G38" s="17"/>
    </row>
    <row r="39" spans="1:7" ht="13.5" thickBot="1">
      <c r="A39" s="284" t="s">
        <v>104</v>
      </c>
      <c r="B39" s="132"/>
      <c r="C39" s="112">
        <f>(B37/B7)^(1/30)-1</f>
        <v>-9.5339556261570424E-2</v>
      </c>
      <c r="D39" s="173"/>
      <c r="E39" s="112">
        <f>(D37/D7)^(1/30)-1</f>
        <v>5.9628833195590314E-2</v>
      </c>
      <c r="F39" s="173"/>
      <c r="G39" s="287" t="s">
        <v>116</v>
      </c>
    </row>
    <row r="40" spans="1:7">
      <c r="A40" s="11"/>
      <c r="B40" s="8"/>
      <c r="C40" s="5"/>
      <c r="D40" s="8"/>
      <c r="E40" s="5"/>
      <c r="F40" s="8"/>
    </row>
    <row r="41" spans="1:7">
      <c r="A41" s="363" t="s">
        <v>506</v>
      </c>
      <c r="B41" s="363"/>
      <c r="C41" s="363"/>
      <c r="D41" s="363"/>
      <c r="E41" s="363"/>
    </row>
    <row r="42" spans="1:7" ht="36.75" customHeight="1">
      <c r="A42" s="361" t="s">
        <v>606</v>
      </c>
      <c r="B42" s="370"/>
      <c r="C42" s="370"/>
      <c r="D42" s="370"/>
      <c r="E42" s="370"/>
      <c r="F42" s="370"/>
      <c r="G42" s="370"/>
    </row>
    <row r="43" spans="1:7" ht="24.75" customHeight="1">
      <c r="A43" s="392" t="s">
        <v>269</v>
      </c>
      <c r="B43" s="392"/>
      <c r="C43" s="392"/>
      <c r="D43" s="392"/>
      <c r="E43" s="392"/>
      <c r="F43" s="392"/>
      <c r="G43" s="392"/>
    </row>
    <row r="45" spans="1:7">
      <c r="A45" s="9" t="s">
        <v>184</v>
      </c>
    </row>
    <row r="46" spans="1:7">
      <c r="A46" s="364" t="s">
        <v>197</v>
      </c>
      <c r="B46" s="364"/>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mergeCells count="6">
    <mergeCell ref="A43:G43"/>
    <mergeCell ref="A46:B46"/>
    <mergeCell ref="A1:G1"/>
    <mergeCell ref="A2:E2"/>
    <mergeCell ref="A41:E41"/>
    <mergeCell ref="A42:G42"/>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2"/>
  <sheetViews>
    <sheetView zoomScaleNormal="100" workbookViewId="0">
      <selection activeCell="D37" sqref="D37"/>
    </sheetView>
  </sheetViews>
  <sheetFormatPr baseColWidth="10" defaultRowHeight="12.75"/>
  <cols>
    <col min="1" max="1" width="16.28515625" style="10" customWidth="1"/>
    <col min="2" max="2" width="19.85546875" bestFit="1" customWidth="1"/>
    <col min="3" max="3" width="7.28515625" customWidth="1"/>
    <col min="4" max="4" width="14.28515625" customWidth="1"/>
    <col min="5" max="5" width="8" customWidth="1"/>
    <col min="6" max="6" width="13.5703125" customWidth="1"/>
    <col min="7" max="7" width="7.5703125" customWidth="1"/>
  </cols>
  <sheetData>
    <row r="1" spans="1:7" ht="30" customHeight="1">
      <c r="A1" s="396" t="s">
        <v>333</v>
      </c>
      <c r="B1" s="396"/>
      <c r="C1" s="396"/>
      <c r="D1" s="396"/>
      <c r="E1" s="396"/>
      <c r="F1" s="396"/>
      <c r="G1" s="396"/>
    </row>
    <row r="2" spans="1:7">
      <c r="A2" s="387" t="s">
        <v>313</v>
      </c>
      <c r="B2" s="387"/>
      <c r="G2" s="2" t="s">
        <v>360</v>
      </c>
    </row>
    <row r="3" spans="1:7">
      <c r="A3" s="66"/>
    </row>
    <row r="4" spans="1:7" ht="13.5" thickBot="1"/>
    <row r="5" spans="1:7" ht="25.5">
      <c r="A5" s="319" t="s">
        <v>265</v>
      </c>
      <c r="B5" s="319" t="s">
        <v>25</v>
      </c>
      <c r="C5" s="282" t="s">
        <v>295</v>
      </c>
      <c r="D5" s="319" t="s">
        <v>270</v>
      </c>
      <c r="E5" s="282" t="s">
        <v>295</v>
      </c>
      <c r="F5" s="319" t="s">
        <v>271</v>
      </c>
      <c r="G5" s="282" t="s">
        <v>295</v>
      </c>
    </row>
    <row r="6" spans="1:7">
      <c r="A6" s="233"/>
      <c r="B6" s="59"/>
      <c r="C6" s="17"/>
      <c r="D6" s="59"/>
      <c r="E6" s="17"/>
      <c r="F6" s="288"/>
      <c r="G6" s="17"/>
    </row>
    <row r="7" spans="1:7">
      <c r="A7" s="233">
        <v>1990</v>
      </c>
      <c r="B7" s="59">
        <v>4439878</v>
      </c>
      <c r="C7" s="18">
        <v>0.39832445262675686</v>
      </c>
      <c r="D7" s="59">
        <v>1990100</v>
      </c>
      <c r="E7" s="18">
        <v>8.505534049397534E-2</v>
      </c>
      <c r="F7" s="59">
        <f>'7.2'!B6+'7.2'!D6+'7.2'!F6+'7.3'!B6+'7.3'!D6+'7.3'!F6+'7.4'!B6+'7.4'!F6+'7.5'!B7+'7.5'!D7+'7.5'!F7+'7.6'!B7+'7.6'!D7</f>
        <v>276596245.26999998</v>
      </c>
      <c r="G7" s="18">
        <v>-2E-3</v>
      </c>
    </row>
    <row r="8" spans="1:7">
      <c r="A8" s="233">
        <v>1991</v>
      </c>
      <c r="B8" s="283">
        <v>4571931</v>
      </c>
      <c r="C8" s="18">
        <f t="shared" ref="C8:C24" si="0">B8/B7-1</f>
        <v>2.9742483915098594E-2</v>
      </c>
      <c r="D8" s="283">
        <v>2029290</v>
      </c>
      <c r="E8" s="18">
        <f t="shared" ref="E8:E24" si="1">D8/D7-1</f>
        <v>1.9692477764936545E-2</v>
      </c>
      <c r="F8" s="59">
        <f>'7.2'!B7+'7.2'!D7+'7.2'!F7+'7.3'!B7+'7.3'!D7+'7.3'!F7+'7.4'!B7+'7.4'!F7+'7.5'!B8+'7.5'!D8+'7.5'!F8+'7.6'!B8+'7.6'!D8</f>
        <v>292204524.74000007</v>
      </c>
      <c r="G8" s="18">
        <f t="shared" ref="G8:G24" si="2">F8/F7-1</f>
        <v>5.6429831340494285E-2</v>
      </c>
    </row>
    <row r="9" spans="1:7">
      <c r="A9" s="233">
        <v>1992</v>
      </c>
      <c r="B9" s="60">
        <v>4804469.3499999996</v>
      </c>
      <c r="C9" s="18">
        <f t="shared" si="0"/>
        <v>5.0862173991689685E-2</v>
      </c>
      <c r="D9" s="60">
        <v>2247170</v>
      </c>
      <c r="E9" s="18">
        <f t="shared" si="1"/>
        <v>0.10736760147637847</v>
      </c>
      <c r="F9" s="59">
        <f>'7.2'!B8+'7.2'!D8+'7.2'!F8+'7.3'!B8+'7.3'!D8+'7.3'!F8+'7.4'!B8+'7.4'!F8+'7.5'!B9+'7.5'!D9+'7.5'!F9+'7.6'!B9+'7.6'!D9</f>
        <v>313834600.46000004</v>
      </c>
      <c r="G9" s="18">
        <f t="shared" si="2"/>
        <v>7.4023753531011094E-2</v>
      </c>
    </row>
    <row r="10" spans="1:7">
      <c r="A10" s="233">
        <v>1993</v>
      </c>
      <c r="B10" s="60">
        <v>4934209.5999999996</v>
      </c>
      <c r="C10" s="18">
        <f t="shared" si="0"/>
        <v>2.7004074862086558E-2</v>
      </c>
      <c r="D10" s="60">
        <v>2036987.95</v>
      </c>
      <c r="E10" s="18">
        <f t="shared" si="1"/>
        <v>-9.3531886773141393E-2</v>
      </c>
      <c r="F10" s="59">
        <f>'7.2'!B9+'7.2'!D9+'7.2'!F9+'7.3'!B9+'7.3'!D9+'7.3'!F9+'7.4'!B9+'7.4'!F9+'7.5'!B10+'7.5'!D10+'7.5'!F10+'7.6'!B10+'7.6'!D10</f>
        <v>319363966.31</v>
      </c>
      <c r="G10" s="18">
        <f t="shared" si="2"/>
        <v>1.7618726048355793E-2</v>
      </c>
    </row>
    <row r="11" spans="1:7">
      <c r="A11" s="233">
        <v>1994</v>
      </c>
      <c r="B11" s="60">
        <v>6002373.75</v>
      </c>
      <c r="C11" s="18">
        <f t="shared" si="0"/>
        <v>0.21648130837409107</v>
      </c>
      <c r="D11" s="60">
        <v>2526460</v>
      </c>
      <c r="E11" s="18">
        <f t="shared" si="1"/>
        <v>0.24029206947444148</v>
      </c>
      <c r="F11" s="59">
        <f>'7.2'!B10+'7.2'!D10+'7.2'!F10+'7.3'!B10+'7.3'!D10+'7.3'!F10+'7.4'!B10+'7.4'!D10+'7.4'!F10+'7.5'!B11+'7.5'!D11+'7.5'!F11+'7.6'!B11+'7.6'!D11</f>
        <v>343727505.52999997</v>
      </c>
      <c r="G11" s="18">
        <f t="shared" si="2"/>
        <v>7.6287689877795328E-2</v>
      </c>
    </row>
    <row r="12" spans="1:7">
      <c r="A12" s="233">
        <v>1995</v>
      </c>
      <c r="B12" s="60">
        <v>6925788.7199999997</v>
      </c>
      <c r="C12" s="18">
        <f t="shared" si="0"/>
        <v>0.15384163140457563</v>
      </c>
      <c r="D12" s="60">
        <v>2227178</v>
      </c>
      <c r="E12" s="18">
        <f t="shared" si="1"/>
        <v>-0.1184590296303919</v>
      </c>
      <c r="F12" s="59">
        <f>'7.2'!B11+'7.2'!D11+'7.2'!F11+'7.3'!B11+'7.3'!D11+'7.3'!F11+'7.4'!B11+'7.4'!D11+'7.4'!F11+'7.5'!B12+'7.5'!D12+'7.5'!F12+'7.6'!B12+'7.6'!D12</f>
        <v>394248019.25000006</v>
      </c>
      <c r="G12" s="18">
        <f t="shared" si="2"/>
        <v>0.14697838522437001</v>
      </c>
    </row>
    <row r="13" spans="1:7">
      <c r="A13" s="233">
        <v>1996</v>
      </c>
      <c r="B13" s="60">
        <v>7323508</v>
      </c>
      <c r="C13" s="18">
        <f t="shared" si="0"/>
        <v>5.7425846510662959E-2</v>
      </c>
      <c r="D13" s="60">
        <v>2218291</v>
      </c>
      <c r="E13" s="18">
        <f t="shared" si="1"/>
        <v>-3.9902513404855844E-3</v>
      </c>
      <c r="F13" s="59">
        <f>'7.2'!B12+'7.2'!D12+'7.2'!F12+'7.3'!B12+'7.3'!D12+'7.3'!F12+'7.4'!B12+'7.4'!D12+'7.4'!F12+'7.5'!B13+'7.5'!D13+'7.5'!F13+'7.6'!B13+'7.6'!D13</f>
        <v>442421111.91000009</v>
      </c>
      <c r="G13" s="18">
        <f t="shared" si="2"/>
        <v>0.12218981531382811</v>
      </c>
    </row>
    <row r="14" spans="1:7">
      <c r="A14" s="233">
        <v>1997</v>
      </c>
      <c r="B14" s="283">
        <v>7740583.0999999996</v>
      </c>
      <c r="C14" s="18">
        <f t="shared" si="0"/>
        <v>5.695018015956288E-2</v>
      </c>
      <c r="D14" s="283">
        <v>2545303</v>
      </c>
      <c r="E14" s="18">
        <f t="shared" si="1"/>
        <v>0.14741618660491351</v>
      </c>
      <c r="F14" s="59">
        <f>'7.2'!B13+'7.2'!D13+'7.2'!F13+'7.3'!B13+'7.3'!D13+'7.3'!F13+'7.4'!B13+'7.4'!D13+'7.4'!F13+'7.5'!B14+'7.5'!D14+'7.5'!F14+'7.6'!B14+'7.6'!D14</f>
        <v>474324579.02999997</v>
      </c>
      <c r="G14" s="18">
        <f t="shared" si="2"/>
        <v>7.2111086612181907E-2</v>
      </c>
    </row>
    <row r="15" spans="1:7">
      <c r="A15" s="233">
        <v>1998</v>
      </c>
      <c r="B15" s="60">
        <v>8093795.9000000004</v>
      </c>
      <c r="C15" s="18">
        <f t="shared" si="0"/>
        <v>4.5631291007004471E-2</v>
      </c>
      <c r="D15" s="60">
        <v>1879000</v>
      </c>
      <c r="E15" s="18">
        <f t="shared" si="1"/>
        <v>-0.26177747796627748</v>
      </c>
      <c r="F15" s="59">
        <f>'7.2'!B14+'7.2'!D14+'7.2'!F14+'7.3'!B14+'7.3'!D14+'7.3'!F14+'7.4'!B14+'7.4'!D14+'7.4'!F14+'7.5'!B15+'7.5'!D15+'7.5'!F15+'7.6'!B15+'7.6'!D15</f>
        <v>531886528.33999997</v>
      </c>
      <c r="G15" s="18">
        <f t="shared" si="2"/>
        <v>0.12135561144167339</v>
      </c>
    </row>
    <row r="16" spans="1:7">
      <c r="A16" s="233">
        <v>1999</v>
      </c>
      <c r="B16" s="60">
        <v>8492445.0999999996</v>
      </c>
      <c r="C16" s="18">
        <f t="shared" si="0"/>
        <v>4.9253675892667381E-2</v>
      </c>
      <c r="D16" s="60">
        <v>2588652</v>
      </c>
      <c r="E16" s="18">
        <f t="shared" si="1"/>
        <v>0.37767535923363482</v>
      </c>
      <c r="F16" s="59">
        <f>'7.2'!B15+'7.2'!D15+'7.2'!F15+'7.3'!B15+'7.3'!D15+'7.3'!F15+'7.4'!B15+'7.4'!D15+'7.4'!F15+'7.5'!B16+'7.5'!D16+'7.5'!F16+'7.6'!B16+'7.6'!D16</f>
        <v>583384451.18000007</v>
      </c>
      <c r="G16" s="18">
        <f t="shared" si="2"/>
        <v>9.6821258099398344E-2</v>
      </c>
    </row>
    <row r="17" spans="1:7">
      <c r="A17" s="233">
        <v>2000</v>
      </c>
      <c r="B17" s="60">
        <v>8858691.5</v>
      </c>
      <c r="C17" s="18">
        <f t="shared" si="0"/>
        <v>4.312614278778204E-2</v>
      </c>
      <c r="D17" s="60">
        <v>1900029</v>
      </c>
      <c r="E17" s="18">
        <f t="shared" si="1"/>
        <v>-0.26601605777833404</v>
      </c>
      <c r="F17" s="59">
        <f>'7.2'!B16+'7.2'!D16+'7.2'!F16+'7.3'!B16+'7.3'!D16+'7.3'!F16+'7.4'!B16+'7.4'!D16+'7.4'!F16+'7.5'!B17+'7.5'!D17+'7.5'!F17+'7.6'!B17+'7.6'!D17</f>
        <v>706604117.04000008</v>
      </c>
      <c r="G17" s="18">
        <f t="shared" si="2"/>
        <v>0.21121520398900939</v>
      </c>
    </row>
    <row r="18" spans="1:7">
      <c r="A18" s="233">
        <v>2001</v>
      </c>
      <c r="B18" s="60">
        <v>9095110.5</v>
      </c>
      <c r="C18" s="18">
        <f t="shared" si="0"/>
        <v>2.6687801465938854E-2</v>
      </c>
      <c r="D18" s="60">
        <v>2078700</v>
      </c>
      <c r="E18" s="18">
        <f t="shared" si="1"/>
        <v>9.4035933135757421E-2</v>
      </c>
      <c r="F18" s="59">
        <f>'7.2'!B17+'7.2'!D17+'7.2'!F17+'7.3'!B17+'7.3'!D17+'7.3'!F17+'7.4'!B17+'7.4'!D17+'7.4'!F17+'7.5'!B18+'7.5'!D18+'7.5'!F18+'7.6'!B18+'7.6'!D18</f>
        <v>726435300.69000006</v>
      </c>
      <c r="G18" s="18">
        <f t="shared" si="2"/>
        <v>2.8065479908429891E-2</v>
      </c>
    </row>
    <row r="19" spans="1:7">
      <c r="A19" s="233">
        <v>2002</v>
      </c>
      <c r="B19" s="60">
        <v>9474061.9499999993</v>
      </c>
      <c r="C19" s="18">
        <f t="shared" si="0"/>
        <v>4.1665403625387398E-2</v>
      </c>
      <c r="D19" s="60">
        <v>2471041.85</v>
      </c>
      <c r="E19" s="18">
        <f t="shared" si="1"/>
        <v>0.18874385433203456</v>
      </c>
      <c r="F19" s="59">
        <f>'7.2'!B18+'7.2'!D18+'7.2'!F18+'7.3'!B18+'7.3'!D18+'7.3'!F18+'7.4'!B18+'7.4'!D18+'7.4'!F18+'7.5'!B19+'7.5'!D19+'7.5'!F19+'7.6'!B19+'7.6'!D19</f>
        <v>679798369.1500001</v>
      </c>
      <c r="G19" s="18">
        <f t="shared" si="2"/>
        <v>-6.4199704358670617E-2</v>
      </c>
    </row>
    <row r="20" spans="1:7">
      <c r="A20" s="233">
        <v>2003</v>
      </c>
      <c r="B20" s="60">
        <v>9550099.6500000004</v>
      </c>
      <c r="C20" s="18">
        <f t="shared" si="0"/>
        <v>8.0258816547005285E-3</v>
      </c>
      <c r="D20" s="60">
        <v>1645268</v>
      </c>
      <c r="E20" s="18">
        <f t="shared" si="1"/>
        <v>-0.33418043891081817</v>
      </c>
      <c r="F20" s="59">
        <f>'7.2'!B19+'7.2'!D19+'7.2'!F19+'7.3'!B19+'7.3'!D19+'7.3'!F19+'7.4'!B19+'7.4'!D19+'7.4'!F19+'7.5'!B20+'7.5'!D20+'7.5'!F20+'7.6'!B20+'7.6'!D20</f>
        <v>640497003.38999987</v>
      </c>
      <c r="G20" s="18">
        <f t="shared" si="2"/>
        <v>-5.7813268674271057E-2</v>
      </c>
    </row>
    <row r="21" spans="1:7">
      <c r="A21" s="233">
        <v>2004</v>
      </c>
      <c r="B21" s="60">
        <v>9808121.8000000007</v>
      </c>
      <c r="C21" s="18">
        <f t="shared" si="0"/>
        <v>2.7017744259872689E-2</v>
      </c>
      <c r="D21" s="60">
        <v>2724820.95</v>
      </c>
      <c r="E21" s="18">
        <f t="shared" si="1"/>
        <v>0.65615629186248081</v>
      </c>
      <c r="F21" s="59">
        <f>'7.2'!B20+'7.2'!D20+'7.2'!F20+'7.3'!B20+'7.3'!D20+'7.3'!F20+'7.4'!B20+'7.4'!D20+'7.4'!F20+'7.5'!B21+'7.5'!D21+'7.5'!F21+'7.6'!B21+'7.6'!D21</f>
        <v>627897448.8499999</v>
      </c>
      <c r="G21" s="18">
        <f t="shared" si="2"/>
        <v>-1.9671527693827628E-2</v>
      </c>
    </row>
    <row r="22" spans="1:7">
      <c r="A22" s="233">
        <v>2005</v>
      </c>
      <c r="B22" s="60">
        <v>10051297.4</v>
      </c>
      <c r="C22" s="18">
        <f t="shared" si="0"/>
        <v>2.479328916979795E-2</v>
      </c>
      <c r="D22" s="60">
        <v>2625566.65</v>
      </c>
      <c r="E22" s="18">
        <f t="shared" si="1"/>
        <v>-3.6425989751730392E-2</v>
      </c>
      <c r="F22" s="59">
        <f>'7.2'!B21+'7.2'!D21+'7.2'!F21+'7.3'!B21+'7.3'!D21+'7.3'!F21+'7.4'!B21+'7.4'!D21+'7.4'!F21+'7.5'!B22+'7.5'!D22+'7.5'!F22+'7.6'!B22+'7.6'!D22</f>
        <v>677645896.73000002</v>
      </c>
      <c r="G22" s="18">
        <f t="shared" si="2"/>
        <v>7.9230211830156216E-2</v>
      </c>
    </row>
    <row r="23" spans="1:7">
      <c r="A23" s="233">
        <v>2006</v>
      </c>
      <c r="B23" s="60">
        <v>10334784</v>
      </c>
      <c r="C23" s="18">
        <f t="shared" si="0"/>
        <v>2.8203980910961768E-2</v>
      </c>
      <c r="D23" s="60">
        <v>2355890</v>
      </c>
      <c r="E23" s="18">
        <f t="shared" si="1"/>
        <v>-0.10271178985305895</v>
      </c>
      <c r="F23" s="59">
        <f>'7.2'!B22+'7.2'!D22+'7.2'!F22+'7.3'!B22+'7.3'!D22+'7.3'!F22+'7.4'!B22+'7.4'!D22+'7.4'!F22+'7.5'!B23+'7.5'!D23+'7.5'!F23+'7.6'!B23+'7.6'!D23</f>
        <v>731929437.82000005</v>
      </c>
      <c r="G23" s="18">
        <f t="shared" si="2"/>
        <v>8.0106057384759177E-2</v>
      </c>
    </row>
    <row r="24" spans="1:7">
      <c r="A24" s="233">
        <v>2007</v>
      </c>
      <c r="B24" s="60">
        <v>10698409.949999999</v>
      </c>
      <c r="C24" s="18">
        <f t="shared" si="0"/>
        <v>3.5184668591041524E-2</v>
      </c>
      <c r="D24" s="60">
        <v>3298789.1</v>
      </c>
      <c r="E24" s="18">
        <f t="shared" si="1"/>
        <v>0.40023052859004449</v>
      </c>
      <c r="F24" s="59">
        <f>'7.2'!B23+'7.2'!D23+'7.2'!F23+'7.3'!B23+'7.3'!D23+'7.3'!F23+'7.4'!B23+'7.4'!D23+'7.4'!F23+'7.5'!B24+'7.5'!D24+'7.5'!F24+'7.6'!B24+'7.6'!D24</f>
        <v>815042721.48000002</v>
      </c>
      <c r="G24" s="18">
        <f t="shared" si="2"/>
        <v>0.11355368340908245</v>
      </c>
    </row>
    <row r="25" spans="1:7">
      <c r="A25" s="233">
        <v>2008</v>
      </c>
      <c r="B25" s="60">
        <v>11058876</v>
      </c>
      <c r="C25" s="18">
        <f t="shared" ref="C25:C35" si="3">B25/B24-1</f>
        <v>3.3693422824949915E-2</v>
      </c>
      <c r="D25" s="60">
        <v>2516700</v>
      </c>
      <c r="E25" s="18">
        <f t="shared" ref="E25:E35" si="4">D25/D24-1</f>
        <v>-0.23708369231606841</v>
      </c>
      <c r="F25" s="59">
        <f>'7.2'!B24+'7.2'!D24+'7.2'!F24+'7.3'!B24+'7.3'!D24+'7.3'!F24+'7.4'!B24+'7.4'!D24+'7.4'!F24+'7.5'!B25+'7.5'!D25+'7.5'!F25+'7.6'!B25+'7.6'!D25</f>
        <v>861592647.98000002</v>
      </c>
      <c r="G25" s="18">
        <f t="shared" ref="G25:G35" si="5">F25/F24-1</f>
        <v>5.7113480401949968E-2</v>
      </c>
    </row>
    <row r="26" spans="1:7">
      <c r="A26" s="233">
        <v>2009</v>
      </c>
      <c r="B26" s="60">
        <v>11470974.15</v>
      </c>
      <c r="C26" s="18">
        <f t="shared" si="3"/>
        <v>3.726401760902287E-2</v>
      </c>
      <c r="D26" s="60">
        <v>2763200</v>
      </c>
      <c r="E26" s="18">
        <f t="shared" si="4"/>
        <v>9.7945722573210992E-2</v>
      </c>
      <c r="F26" s="59">
        <f>'7.2'!B25+'7.2'!D25+'7.2'!F25+'7.3'!B25+'7.3'!D25+'7.3'!F25+'7.4'!B25+'7.4'!D25+'7.4'!F25+'7.5'!B26+'7.5'!D26+'7.5'!F26+'7.6'!B26+'7.6'!D26</f>
        <v>778280821.32999992</v>
      </c>
      <c r="G26" s="18">
        <f t="shared" si="5"/>
        <v>-9.6695145722661691E-2</v>
      </c>
    </row>
    <row r="27" spans="1:7">
      <c r="A27" s="233">
        <v>2010</v>
      </c>
      <c r="B27" s="60">
        <v>11236312</v>
      </c>
      <c r="C27" s="18">
        <f t="shared" si="3"/>
        <v>-2.0457037644008635E-2</v>
      </c>
      <c r="D27" s="60">
        <v>3895389</v>
      </c>
      <c r="E27" s="18">
        <f t="shared" si="4"/>
        <v>0.4097383468442386</v>
      </c>
      <c r="F27" s="59">
        <f>'7.2'!B26+'7.2'!D26+'7.2'!F26+'7.3'!B26+'7.3'!D26+'7.3'!F26+'7.4'!B26+'7.4'!D26+'7.4'!F26+'7.5'!B27+'7.5'!D27+'7.5'!F27+'7.6'!B27+'7.6'!D27</f>
        <v>788086905.09999979</v>
      </c>
      <c r="G27" s="18">
        <f t="shared" si="5"/>
        <v>1.2599672896014935E-2</v>
      </c>
    </row>
    <row r="28" spans="1:7">
      <c r="A28" s="233">
        <v>2011</v>
      </c>
      <c r="B28" s="60">
        <v>11804927</v>
      </c>
      <c r="C28" s="18">
        <f t="shared" si="3"/>
        <v>5.0605127376313508E-2</v>
      </c>
      <c r="D28" s="60">
        <v>5357701</v>
      </c>
      <c r="E28" s="18">
        <f t="shared" si="4"/>
        <v>0.37539562801045023</v>
      </c>
      <c r="F28" s="59">
        <f>'7.2'!B27+'7.2'!D27+'7.2'!F27+'7.3'!B27+'7.3'!D27+'7.3'!F27+'7.4'!B27+'7.4'!D27+'7.4'!F27+'7.5'!B28+'7.5'!D28+'7.5'!F28+'7.6'!B28+'7.6'!D28</f>
        <v>768352729.8900001</v>
      </c>
      <c r="G28" s="18">
        <f t="shared" si="5"/>
        <v>-2.504060793586671E-2</v>
      </c>
    </row>
    <row r="29" spans="1:7">
      <c r="A29" s="233">
        <v>2012</v>
      </c>
      <c r="B29" s="60">
        <v>12145761</v>
      </c>
      <c r="C29" s="18">
        <f t="shared" si="3"/>
        <v>2.8872181928782714E-2</v>
      </c>
      <c r="D29" s="60">
        <v>4962700</v>
      </c>
      <c r="E29" s="18">
        <f t="shared" si="4"/>
        <v>-7.3725838750613337E-2</v>
      </c>
      <c r="F29" s="59">
        <f>'7.2'!B28+'7.2'!D28+'7.2'!F28+'7.3'!B28+'7.3'!D28+'7.3'!F28+'7.4'!B28+'7.4'!D28+'7.4'!F28+'7.5'!B29+'7.5'!D29+'7.6'!B29+'7.6'!D29</f>
        <v>831391579.52000022</v>
      </c>
      <c r="G29" s="18">
        <f t="shared" si="5"/>
        <v>8.2044153912259832E-2</v>
      </c>
    </row>
    <row r="30" spans="1:7">
      <c r="A30" s="233">
        <v>2013</v>
      </c>
      <c r="B30" s="60">
        <v>12318327</v>
      </c>
      <c r="C30" s="18">
        <f t="shared" si="3"/>
        <v>1.420791994836712E-2</v>
      </c>
      <c r="D30" s="60">
        <v>7867700</v>
      </c>
      <c r="E30" s="18">
        <f t="shared" si="4"/>
        <v>0.58536683660104383</v>
      </c>
      <c r="F30" s="59">
        <f>'7.2'!B29+'7.2'!D29+'7.2'!F29+'7.3'!B29+'7.3'!D29+'7.3'!F29+'7.4'!B29+'7.4'!D29+'7.4'!F29+'7.5'!B30+'7.5'!D30+'7.5'!F30+'7.6'!B30+'7.6'!D30</f>
        <v>649168598.18000007</v>
      </c>
      <c r="G30" s="18">
        <f t="shared" si="5"/>
        <v>-0.21917828593501709</v>
      </c>
    </row>
    <row r="31" spans="1:7">
      <c r="A31" s="233">
        <v>2014</v>
      </c>
      <c r="B31" s="60">
        <v>14300275</v>
      </c>
      <c r="C31" s="18">
        <f t="shared" si="3"/>
        <v>0.16089425130539237</v>
      </c>
      <c r="D31" s="60">
        <v>8081011</v>
      </c>
      <c r="E31" s="18">
        <f t="shared" si="4"/>
        <v>2.7112243730696317E-2</v>
      </c>
      <c r="F31" s="59">
        <f>'7.2'!B30+'7.2'!D30+'7.2'!F30+'7.3'!B30+'7.3'!D30+'7.3'!F30+'7.4'!B30+'7.4'!D30+'7.4'!F30+'7.5'!B31+'7.5'!D31+'7.5'!F31+'7.6'!B31+'7.6'!D31</f>
        <v>728272833.68000007</v>
      </c>
      <c r="G31" s="18">
        <f t="shared" si="5"/>
        <v>0.12185468570379943</v>
      </c>
    </row>
    <row r="32" spans="1:7">
      <c r="A32" s="233">
        <v>2015</v>
      </c>
      <c r="B32" s="60">
        <v>14542343</v>
      </c>
      <c r="C32" s="18">
        <f t="shared" si="3"/>
        <v>1.6927506638858336E-2</v>
      </c>
      <c r="D32" s="60">
        <v>9854776</v>
      </c>
      <c r="E32" s="18">
        <f t="shared" si="4"/>
        <v>0.21949790688318571</v>
      </c>
      <c r="F32" s="59">
        <f>'7.2'!B31+'7.2'!D31+'7.2'!F31+'7.3'!B31+'7.3'!D31+'7.3'!F31+'7.4'!B31+'7.4'!D31+'7.4'!F31+'7.5'!B32+'7.5'!D32+'7.5'!F32+'7.6'!B32+'7.6'!D32</f>
        <v>821262966</v>
      </c>
      <c r="G32" s="18">
        <f t="shared" si="5"/>
        <v>0.12768584522110493</v>
      </c>
    </row>
    <row r="33" spans="1:7">
      <c r="A33" s="233">
        <v>2016</v>
      </c>
      <c r="B33" s="60">
        <v>14814130</v>
      </c>
      <c r="C33" s="18">
        <f t="shared" si="3"/>
        <v>1.8689354253300205E-2</v>
      </c>
      <c r="D33" s="60">
        <v>10363000</v>
      </c>
      <c r="E33" s="18">
        <f t="shared" si="4"/>
        <v>5.1571339622534351E-2</v>
      </c>
      <c r="F33" s="59">
        <f>'7.2'!B32+'7.2'!D32+'7.2'!F32+'7.3'!B32+'7.3'!D32+'7.3'!F32+'7.4'!B32+'7.4'!D32+'7.4'!F32+'7.5'!B33+'7.5'!D33+'7.5'!F33+'7.6'!B33+'7.6'!D33</f>
        <v>807810597.96000004</v>
      </c>
      <c r="G33" s="18">
        <f t="shared" si="5"/>
        <v>-1.6380098210832972E-2</v>
      </c>
    </row>
    <row r="34" spans="1:7">
      <c r="A34" s="233">
        <v>2017</v>
      </c>
      <c r="B34" s="60">
        <v>15088995</v>
      </c>
      <c r="C34" s="18">
        <f t="shared" si="3"/>
        <v>1.8554245169982941E-2</v>
      </c>
      <c r="D34" s="60">
        <v>10867000</v>
      </c>
      <c r="E34" s="18">
        <f t="shared" si="4"/>
        <v>4.8634565280324171E-2</v>
      </c>
      <c r="F34" s="59">
        <f>'7.2'!B33+'7.2'!D33+'7.2'!F33+'7.3'!B33+'7.3'!D33+'7.3'!F33+'7.4'!B33+'7.4'!D33+'7.4'!F33+'7.5'!B34+'7.5'!D34+'7.5'!F34+'7.6'!B34+'7.6'!D34</f>
        <v>812745196.8900001</v>
      </c>
      <c r="G34" s="18">
        <f t="shared" si="5"/>
        <v>6.1086088031794272E-3</v>
      </c>
    </row>
    <row r="35" spans="1:7">
      <c r="A35" s="233">
        <v>2018</v>
      </c>
      <c r="B35" s="60">
        <v>15314609</v>
      </c>
      <c r="C35" s="18">
        <f t="shared" si="3"/>
        <v>1.4952221801385779E-2</v>
      </c>
      <c r="D35" s="60">
        <v>9137500</v>
      </c>
      <c r="E35" s="18">
        <f t="shared" si="4"/>
        <v>-0.15915155976810524</v>
      </c>
      <c r="F35" s="59">
        <f>'7.2'!B34+'7.2'!D34+'7.2'!F34+'7.3'!B34+'7.3'!D34+'7.3'!F34+'7.4'!B34+'7.4'!D34+'7.4'!F34+'7.5'!B35+'7.5'!D35+'7.5'!F35+'7.6'!B35+'7.6'!D35</f>
        <v>850017972</v>
      </c>
      <c r="G35" s="18">
        <f t="shared" si="5"/>
        <v>4.5860344979737233E-2</v>
      </c>
    </row>
    <row r="36" spans="1:7">
      <c r="A36" s="233">
        <v>2019</v>
      </c>
      <c r="B36" s="60">
        <v>15434413</v>
      </c>
      <c r="C36" s="18">
        <f>B36/B35-1</f>
        <v>7.8228572469594138E-3</v>
      </c>
      <c r="D36" s="60">
        <v>9175000</v>
      </c>
      <c r="E36" s="18">
        <f>D36/D35-1</f>
        <v>4.1039671682625567E-3</v>
      </c>
      <c r="F36" s="59">
        <f>'7.2'!B35+'7.2'!D35+'7.2'!F35+'7.3'!B35+'7.3'!D35+'7.3'!F35+'7.4'!B35+'7.4'!D35+'7.4'!F35+'7.5'!B36+'7.5'!D36+'7.5'!F36+'7.6'!B36+'7.6'!D36</f>
        <v>883688829</v>
      </c>
      <c r="G36" s="18">
        <f>F36/F35-1</f>
        <v>3.9611935405055254E-2</v>
      </c>
    </row>
    <row r="37" spans="1:7">
      <c r="A37" s="233">
        <v>2020</v>
      </c>
      <c r="B37" s="60">
        <v>15426851</v>
      </c>
      <c r="C37" s="18">
        <f>B37/B36-1</f>
        <v>-4.8994412680292143E-4</v>
      </c>
      <c r="D37" s="60">
        <v>10400000</v>
      </c>
      <c r="E37" s="18">
        <f>D37/D36-1</f>
        <v>0.13351498637602188</v>
      </c>
      <c r="F37" s="59">
        <f>'7.2'!B36+'7.2'!D36+'7.2'!F36+'7.3'!B36+'7.3'!D36+'7.3'!F36+'7.4'!B36+'7.4'!D36+'7.4'!F36+'7.5'!B37+'7.5'!D37+'7.5'!F37+'7.6'!B37+'7.6'!D37</f>
        <v>1201821499</v>
      </c>
      <c r="G37" s="18">
        <f>F37/F36-1</f>
        <v>0.36000530906337835</v>
      </c>
    </row>
    <row r="38" spans="1:7">
      <c r="A38" s="239"/>
      <c r="B38" s="60"/>
      <c r="C38" s="171"/>
      <c r="D38" s="130"/>
      <c r="E38" s="171"/>
      <c r="F38" s="130"/>
      <c r="G38" s="17"/>
    </row>
    <row r="39" spans="1:7" ht="13.5" thickBot="1">
      <c r="A39" s="284" t="s">
        <v>104</v>
      </c>
      <c r="B39" s="132"/>
      <c r="C39" s="112">
        <f>(B37/B7)^(1/30)-1</f>
        <v>4.2389932519809603E-2</v>
      </c>
      <c r="D39" s="173"/>
      <c r="E39" s="112">
        <f>(D37/D7)^(1/30)-1</f>
        <v>5.6668143915342029E-2</v>
      </c>
      <c r="F39" s="173"/>
      <c r="G39" s="112">
        <f>(F37/F7)^(1/30)-1</f>
        <v>5.0186560660373747E-2</v>
      </c>
    </row>
    <row r="40" spans="1:7">
      <c r="A40" s="11"/>
      <c r="B40" s="8"/>
      <c r="C40" s="5"/>
      <c r="D40" s="8"/>
      <c r="E40" s="5"/>
      <c r="F40" s="5"/>
    </row>
    <row r="41" spans="1:7">
      <c r="A41" s="9" t="s">
        <v>184</v>
      </c>
    </row>
    <row r="42" spans="1:7">
      <c r="A42" s="387" t="s">
        <v>732</v>
      </c>
      <c r="B42" s="364"/>
      <c r="C42" s="364"/>
      <c r="D42" s="364"/>
      <c r="E42" s="364"/>
      <c r="F42" s="364"/>
      <c r="G42" s="364"/>
    </row>
  </sheetData>
  <customSheetViews>
    <customSheetView guid="{9E4C61FA-E6D1-438A-8921-8C22C886D6BA}" showRuler="0">
      <selection activeCell="A5" sqref="A5"/>
      <pageMargins left="0.78740157499999996" right="0.78740157499999996" top="0.984251969" bottom="0.984251969" header="0.4921259845" footer="0.4921259845"/>
      <headerFooter alignWithMargins="0"/>
    </customSheetView>
  </customSheetViews>
  <mergeCells count="3">
    <mergeCell ref="A1:G1"/>
    <mergeCell ref="A2:B2"/>
    <mergeCell ref="A42:G42"/>
  </mergeCells>
  <phoneticPr fontId="3" type="noConversion"/>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5"/>
  <sheetViews>
    <sheetView zoomScaleNormal="100" workbookViewId="0">
      <selection activeCell="A22" sqref="A22:F22"/>
    </sheetView>
  </sheetViews>
  <sheetFormatPr baseColWidth="10" defaultRowHeight="12.75"/>
  <cols>
    <col min="1" max="1" width="16" customWidth="1"/>
    <col min="2" max="6" width="14.28515625" customWidth="1"/>
  </cols>
  <sheetData>
    <row r="1" spans="1:14" ht="15">
      <c r="A1" s="360" t="s">
        <v>458</v>
      </c>
      <c r="B1" s="360"/>
      <c r="C1" s="360"/>
      <c r="D1" s="360"/>
      <c r="E1" s="360"/>
      <c r="F1" s="360"/>
    </row>
    <row r="2" spans="1:14">
      <c r="E2" s="2"/>
      <c r="F2" s="2" t="s">
        <v>460</v>
      </c>
    </row>
    <row r="3" spans="1:14" ht="13.5" thickBot="1">
      <c r="A3" s="20"/>
    </row>
    <row r="4" spans="1:14" ht="25.5">
      <c r="A4" s="108"/>
      <c r="B4" s="317" t="s">
        <v>104</v>
      </c>
      <c r="C4" s="317" t="s">
        <v>364</v>
      </c>
      <c r="D4" s="317" t="s">
        <v>365</v>
      </c>
      <c r="E4" s="317" t="s">
        <v>366</v>
      </c>
      <c r="F4" s="317" t="s">
        <v>472</v>
      </c>
    </row>
    <row r="5" spans="1:14">
      <c r="A5" s="302" t="s">
        <v>474</v>
      </c>
      <c r="B5" s="303" t="s">
        <v>389</v>
      </c>
      <c r="C5" s="303" t="s">
        <v>389</v>
      </c>
      <c r="D5" s="303"/>
      <c r="E5" s="303"/>
      <c r="F5" s="303" t="s">
        <v>403</v>
      </c>
    </row>
    <row r="6" spans="1:14">
      <c r="A6" s="17"/>
      <c r="B6" s="290"/>
      <c r="C6" s="290"/>
      <c r="D6" s="290"/>
      <c r="E6" s="290"/>
      <c r="F6" s="290"/>
    </row>
    <row r="7" spans="1:14">
      <c r="A7" s="233">
        <v>2000</v>
      </c>
      <c r="B7" s="87">
        <v>197493.88</v>
      </c>
      <c r="C7" s="87">
        <v>18543.5</v>
      </c>
      <c r="D7" s="291">
        <v>16.788146789980317</v>
      </c>
      <c r="E7" s="292">
        <v>0.87223676000000139</v>
      </c>
      <c r="F7" s="97">
        <v>5243.6600120000003</v>
      </c>
    </row>
    <row r="8" spans="1:14">
      <c r="A8" s="233">
        <v>2009</v>
      </c>
      <c r="B8" s="87">
        <v>270269.69</v>
      </c>
      <c r="C8" s="87">
        <v>32470</v>
      </c>
      <c r="D8" s="291">
        <v>14.371604558053589</v>
      </c>
      <c r="E8" s="292">
        <v>0.85025924000000108</v>
      </c>
      <c r="F8" s="97">
        <v>8154.0364850000005</v>
      </c>
      <c r="H8" s="83"/>
      <c r="I8" s="83"/>
      <c r="J8" s="83"/>
      <c r="K8" s="83"/>
    </row>
    <row r="9" spans="1:14">
      <c r="A9" s="233">
        <v>2010</v>
      </c>
      <c r="B9" s="87">
        <v>286367</v>
      </c>
      <c r="C9" s="87">
        <v>35113</v>
      </c>
      <c r="D9" s="291">
        <v>14.603508672001823</v>
      </c>
      <c r="E9" s="292">
        <v>0.84687800000000024</v>
      </c>
      <c r="F9" s="97">
        <v>8660.3141259999993</v>
      </c>
      <c r="H9" s="83"/>
      <c r="I9" s="83"/>
      <c r="J9" s="83"/>
      <c r="K9" s="83"/>
    </row>
    <row r="10" spans="1:14">
      <c r="A10" s="233">
        <v>2011</v>
      </c>
      <c r="B10" s="87">
        <v>296383</v>
      </c>
      <c r="C10" s="87">
        <v>25660</v>
      </c>
      <c r="D10" s="291">
        <v>20.385697583787998</v>
      </c>
      <c r="E10" s="292">
        <v>0.86481899999999978</v>
      </c>
      <c r="F10" s="97">
        <v>8103.1055029999998</v>
      </c>
      <c r="H10" s="83"/>
      <c r="I10" s="83"/>
      <c r="J10" s="83"/>
      <c r="K10" s="83"/>
    </row>
    <row r="11" spans="1:14">
      <c r="A11" s="233">
        <v>2012</v>
      </c>
      <c r="B11" s="87">
        <v>297577</v>
      </c>
      <c r="C11" s="87">
        <v>25575</v>
      </c>
      <c r="D11" s="291">
        <f>532392/C11</f>
        <v>20.816891495601173</v>
      </c>
      <c r="E11" s="292">
        <v>0.86334700000000009</v>
      </c>
      <c r="F11" s="97">
        <v>9280.2495259999996</v>
      </c>
      <c r="H11" s="83"/>
      <c r="I11" s="83"/>
      <c r="J11" s="83"/>
      <c r="K11" s="83"/>
      <c r="L11" s="83"/>
      <c r="M11" s="50"/>
      <c r="N11" s="50"/>
    </row>
    <row r="12" spans="1:14">
      <c r="A12" s="233">
        <v>2013</v>
      </c>
      <c r="B12" s="87">
        <v>362052</v>
      </c>
      <c r="C12" s="87">
        <v>28562</v>
      </c>
      <c r="D12" s="291">
        <v>19.831199999999999</v>
      </c>
      <c r="E12" s="292">
        <v>0.87641999999999998</v>
      </c>
      <c r="F12" s="97">
        <v>11447.008833</v>
      </c>
      <c r="H12" s="83"/>
      <c r="I12" s="83"/>
      <c r="J12" s="83"/>
      <c r="K12" s="83"/>
      <c r="L12" s="83"/>
      <c r="M12" s="50"/>
      <c r="N12" s="50"/>
    </row>
    <row r="13" spans="1:14">
      <c r="A13" s="233">
        <v>2014</v>
      </c>
      <c r="B13" s="293">
        <v>420176</v>
      </c>
      <c r="C13" s="294">
        <v>32460</v>
      </c>
      <c r="D13" s="295">
        <v>19.537700000000001</v>
      </c>
      <c r="E13" s="296">
        <v>0.87990199999999996</v>
      </c>
      <c r="F13" s="97">
        <v>13382.198076000001</v>
      </c>
      <c r="H13" s="83"/>
      <c r="I13" s="83"/>
      <c r="J13" s="83"/>
      <c r="K13" s="83"/>
      <c r="L13" s="83"/>
      <c r="M13" s="50"/>
      <c r="N13" s="50"/>
    </row>
    <row r="14" spans="1:14">
      <c r="A14" s="233">
        <v>2015</v>
      </c>
      <c r="B14" s="293">
        <v>417829</v>
      </c>
      <c r="C14" s="294">
        <v>35232</v>
      </c>
      <c r="D14" s="295">
        <v>19.173705722070846</v>
      </c>
      <c r="E14" s="297">
        <v>0.87226999999999999</v>
      </c>
      <c r="F14" s="97">
        <v>13432.372472999999</v>
      </c>
      <c r="H14" s="83"/>
      <c r="I14" s="83"/>
      <c r="J14" s="83"/>
      <c r="K14" s="83"/>
      <c r="L14" s="83"/>
      <c r="M14" s="50"/>
      <c r="N14" s="50"/>
    </row>
    <row r="15" spans="1:14">
      <c r="A15" s="233">
        <v>2016</v>
      </c>
      <c r="B15" s="293">
        <v>415054</v>
      </c>
      <c r="C15" s="294">
        <v>37137</v>
      </c>
      <c r="D15" s="295">
        <v>18.64</v>
      </c>
      <c r="E15" s="297">
        <v>0.86857454690000002</v>
      </c>
      <c r="F15" s="97">
        <v>13488.4118</v>
      </c>
      <c r="H15" s="83"/>
      <c r="I15" s="83"/>
      <c r="J15" s="83"/>
      <c r="K15" s="83"/>
      <c r="L15" s="83"/>
      <c r="M15" s="50"/>
      <c r="N15" s="50"/>
    </row>
    <row r="16" spans="1:14">
      <c r="A16" s="233">
        <v>2017</v>
      </c>
      <c r="B16" s="293">
        <v>432503</v>
      </c>
      <c r="C16" s="294">
        <v>41055</v>
      </c>
      <c r="D16" s="295">
        <v>17.82</v>
      </c>
      <c r="E16" s="297">
        <v>0.86599999999999999</v>
      </c>
      <c r="F16" s="97">
        <v>14201.300000000001</v>
      </c>
      <c r="H16" s="83"/>
      <c r="I16" s="83"/>
      <c r="J16" s="83"/>
      <c r="K16" s="83"/>
      <c r="L16" s="83"/>
      <c r="M16" s="50"/>
      <c r="N16" s="50"/>
    </row>
    <row r="17" spans="1:14">
      <c r="A17" s="233">
        <v>2018</v>
      </c>
      <c r="B17" s="293">
        <v>471369</v>
      </c>
      <c r="C17" s="294">
        <v>45273</v>
      </c>
      <c r="D17" s="295">
        <v>17.167715900000001</v>
      </c>
      <c r="E17" s="297">
        <v>0.86688245100000005</v>
      </c>
      <c r="F17" s="97">
        <v>15551.405857</v>
      </c>
      <c r="H17" s="12"/>
      <c r="I17" s="83"/>
      <c r="J17" s="83"/>
      <c r="K17" s="83"/>
      <c r="L17" s="83"/>
      <c r="M17" s="50"/>
      <c r="N17" s="50"/>
    </row>
    <row r="18" spans="1:14" ht="13.5" thickBot="1">
      <c r="A18" s="281">
        <v>2019</v>
      </c>
      <c r="B18" s="298">
        <v>471928.18</v>
      </c>
      <c r="C18" s="299">
        <v>48403.5</v>
      </c>
      <c r="D18" s="300">
        <v>16.352681100000002</v>
      </c>
      <c r="E18" s="301">
        <v>0.862695141</v>
      </c>
      <c r="F18" s="270">
        <v>15715.680308000001</v>
      </c>
      <c r="H18" s="12"/>
      <c r="I18" s="83"/>
      <c r="J18" s="83"/>
      <c r="K18" s="83"/>
      <c r="L18" s="83"/>
      <c r="M18" s="50"/>
      <c r="N18" s="50"/>
    </row>
    <row r="20" spans="1:14">
      <c r="A20" s="363" t="s">
        <v>506</v>
      </c>
      <c r="B20" s="363"/>
      <c r="C20" s="363"/>
      <c r="D20" s="363"/>
    </row>
    <row r="21" spans="1:14" ht="26.25" customHeight="1">
      <c r="A21" s="391" t="s">
        <v>459</v>
      </c>
      <c r="B21" s="395"/>
      <c r="C21" s="395"/>
      <c r="D21" s="395"/>
      <c r="E21" s="395"/>
      <c r="F21" s="397"/>
    </row>
    <row r="22" spans="1:14" ht="39" customHeight="1">
      <c r="A22" s="391" t="s">
        <v>537</v>
      </c>
      <c r="B22" s="371"/>
      <c r="C22" s="371"/>
      <c r="D22" s="371"/>
      <c r="E22" s="371"/>
      <c r="F22" s="371"/>
    </row>
    <row r="24" spans="1:14">
      <c r="A24" s="9" t="s">
        <v>184</v>
      </c>
    </row>
    <row r="25" spans="1:14">
      <c r="A25" s="10" t="s">
        <v>197</v>
      </c>
      <c r="B25" s="10"/>
      <c r="C25" s="10"/>
      <c r="D25" s="10"/>
      <c r="E25" s="10"/>
      <c r="F25" s="10"/>
      <c r="G25" s="10"/>
    </row>
  </sheetData>
  <mergeCells count="4">
    <mergeCell ref="A20:D20"/>
    <mergeCell ref="A21:F21"/>
    <mergeCell ref="A22:F22"/>
    <mergeCell ref="A1:F1"/>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4"/>
  <sheetViews>
    <sheetView zoomScaleNormal="100" workbookViewId="0">
      <selection activeCell="A22" sqref="A22"/>
    </sheetView>
  </sheetViews>
  <sheetFormatPr baseColWidth="10" defaultRowHeight="12.75"/>
  <cols>
    <col min="1" max="1" width="16.5703125" customWidth="1"/>
    <col min="2" max="2" width="9.28515625" customWidth="1"/>
    <col min="3" max="8" width="8.5703125" customWidth="1"/>
    <col min="9" max="9" width="9" customWidth="1"/>
  </cols>
  <sheetData>
    <row r="1" spans="1:9" ht="30" customHeight="1">
      <c r="A1" s="404" t="s">
        <v>461</v>
      </c>
      <c r="B1" s="405"/>
      <c r="C1" s="405"/>
      <c r="D1" s="405"/>
      <c r="E1" s="405"/>
      <c r="F1" s="405"/>
      <c r="G1" s="405"/>
      <c r="H1" s="405"/>
      <c r="I1" s="405"/>
    </row>
    <row r="2" spans="1:9">
      <c r="I2" s="2" t="s">
        <v>462</v>
      </c>
    </row>
    <row r="3" spans="1:9" ht="13.5" thickBot="1">
      <c r="A3" s="20"/>
    </row>
    <row r="4" spans="1:9" ht="38.25">
      <c r="A4" s="108"/>
      <c r="B4" s="317" t="s">
        <v>372</v>
      </c>
      <c r="C4" s="402" t="s">
        <v>373</v>
      </c>
      <c r="D4" s="406"/>
      <c r="E4" s="406"/>
      <c r="F4" s="402" t="s">
        <v>374</v>
      </c>
      <c r="G4" s="403"/>
      <c r="H4" s="403"/>
      <c r="I4" s="403"/>
    </row>
    <row r="5" spans="1:9" ht="38.25">
      <c r="A5" s="302" t="s">
        <v>474</v>
      </c>
      <c r="B5" s="305"/>
      <c r="C5" s="306" t="s">
        <v>376</v>
      </c>
      <c r="D5" s="307" t="s">
        <v>463</v>
      </c>
      <c r="E5" s="307" t="s">
        <v>383</v>
      </c>
      <c r="F5" s="307" t="s">
        <v>100</v>
      </c>
      <c r="G5" s="306" t="s">
        <v>376</v>
      </c>
      <c r="H5" s="307" t="s">
        <v>463</v>
      </c>
      <c r="I5" s="307" t="s">
        <v>383</v>
      </c>
    </row>
    <row r="6" spans="1:9">
      <c r="A6" s="233">
        <v>2000</v>
      </c>
      <c r="B6" s="87">
        <v>26551</v>
      </c>
      <c r="C6" s="304">
        <v>0.64419999999999999</v>
      </c>
      <c r="D6" s="304">
        <v>0.32420000000000004</v>
      </c>
      <c r="E6" s="176">
        <v>3.1600000000000003E-2</v>
      </c>
      <c r="F6" s="59">
        <v>197493.88</v>
      </c>
      <c r="G6" s="59">
        <v>10027.39</v>
      </c>
      <c r="H6" s="59">
        <v>215179.92</v>
      </c>
      <c r="I6" s="59">
        <v>3842085.43</v>
      </c>
    </row>
    <row r="7" spans="1:9">
      <c r="A7" s="233">
        <v>2009</v>
      </c>
      <c r="B7" s="87">
        <v>30170</v>
      </c>
      <c r="C7" s="304">
        <v>0.56059999999999999</v>
      </c>
      <c r="D7" s="304">
        <v>0.39439999999999997</v>
      </c>
      <c r="E7" s="176">
        <v>4.4999999999999998E-2</v>
      </c>
      <c r="F7" s="59">
        <v>270269.69</v>
      </c>
      <c r="G7" s="59">
        <v>10391.65</v>
      </c>
      <c r="H7" s="59">
        <v>243712.43</v>
      </c>
      <c r="I7" s="59">
        <v>3739750.78</v>
      </c>
    </row>
    <row r="8" spans="1:9">
      <c r="A8" s="233">
        <v>2010</v>
      </c>
      <c r="B8" s="87">
        <v>30242</v>
      </c>
      <c r="C8" s="304">
        <v>0.54899999999999993</v>
      </c>
      <c r="D8" s="304">
        <v>0.40200000000000002</v>
      </c>
      <c r="E8" s="176">
        <v>4.9000000000000002E-2</v>
      </c>
      <c r="F8" s="59">
        <v>286367</v>
      </c>
      <c r="G8" s="59">
        <v>10556</v>
      </c>
      <c r="H8" s="59">
        <v>249984</v>
      </c>
      <c r="I8" s="59">
        <v>3696989</v>
      </c>
    </row>
    <row r="9" spans="1:9">
      <c r="A9" s="233">
        <v>2011</v>
      </c>
      <c r="B9" s="87">
        <v>27340</v>
      </c>
      <c r="C9" s="304">
        <v>0.57999999999999996</v>
      </c>
      <c r="D9" s="304">
        <v>0.36899999999999999</v>
      </c>
      <c r="E9" s="176">
        <v>5.0999999999999997E-2</v>
      </c>
      <c r="F9" s="59">
        <v>296383</v>
      </c>
      <c r="G9" s="59">
        <v>8366</v>
      </c>
      <c r="H9" s="59">
        <v>261110</v>
      </c>
      <c r="I9" s="59">
        <v>3848103</v>
      </c>
    </row>
    <row r="10" spans="1:9">
      <c r="A10" s="233">
        <v>2012</v>
      </c>
      <c r="B10" s="87">
        <v>31186</v>
      </c>
      <c r="C10" s="304">
        <v>0.57700000000000007</v>
      </c>
      <c r="D10" s="304">
        <v>0.37200000000000005</v>
      </c>
      <c r="E10" s="176">
        <v>5.0999999999999997E-2</v>
      </c>
      <c r="F10" s="59">
        <v>297577</v>
      </c>
      <c r="G10" s="59">
        <v>8338</v>
      </c>
      <c r="H10" s="59">
        <v>260013</v>
      </c>
      <c r="I10" s="59">
        <v>3809769</v>
      </c>
    </row>
    <row r="11" spans="1:9">
      <c r="A11" s="233">
        <v>2013</v>
      </c>
      <c r="B11" s="87">
        <v>31617</v>
      </c>
      <c r="C11" s="304">
        <v>0.56600000000000006</v>
      </c>
      <c r="D11" s="304">
        <v>0.376</v>
      </c>
      <c r="E11" s="176">
        <v>5.7000000000000002E-2</v>
      </c>
      <c r="F11" s="59">
        <v>362052</v>
      </c>
      <c r="G11" s="59">
        <v>8559</v>
      </c>
      <c r="H11" s="59">
        <v>263179</v>
      </c>
      <c r="I11" s="59">
        <v>4494339</v>
      </c>
    </row>
    <row r="12" spans="1:9">
      <c r="A12" s="233">
        <v>2014</v>
      </c>
      <c r="B12" s="87">
        <v>31849</v>
      </c>
      <c r="C12" s="304">
        <v>0.55200000000000005</v>
      </c>
      <c r="D12" s="304">
        <v>0.38299999999999995</v>
      </c>
      <c r="E12" s="176">
        <v>6.5000000000000002E-2</v>
      </c>
      <c r="F12" s="59">
        <v>420176</v>
      </c>
      <c r="G12" s="59">
        <v>8619</v>
      </c>
      <c r="H12" s="59">
        <v>271856</v>
      </c>
      <c r="I12" s="59">
        <v>4795031</v>
      </c>
    </row>
    <row r="13" spans="1:9">
      <c r="A13" s="233">
        <v>2015</v>
      </c>
      <c r="B13" s="87">
        <v>32148</v>
      </c>
      <c r="C13" s="304">
        <v>0.54200000000000004</v>
      </c>
      <c r="D13" s="304">
        <v>0.38900000000000001</v>
      </c>
      <c r="E13" s="176">
        <v>6.9000000000000006E-2</v>
      </c>
      <c r="F13" s="59">
        <v>417829</v>
      </c>
      <c r="G13" s="59">
        <v>8850</v>
      </c>
      <c r="H13" s="59">
        <v>274834</v>
      </c>
      <c r="I13" s="59">
        <v>4440600</v>
      </c>
    </row>
    <row r="14" spans="1:9">
      <c r="A14" s="233">
        <v>2016</v>
      </c>
      <c r="B14" s="87">
        <v>32498</v>
      </c>
      <c r="C14" s="304">
        <v>0.53500000000000003</v>
      </c>
      <c r="D14" s="304">
        <v>0.39500000000000002</v>
      </c>
      <c r="E14" s="176">
        <v>7.0000000000000007E-2</v>
      </c>
      <c r="F14" s="59">
        <v>415054</v>
      </c>
      <c r="G14" s="59">
        <v>9000</v>
      </c>
      <c r="H14" s="59">
        <v>279202</v>
      </c>
      <c r="I14" s="59">
        <v>4309451</v>
      </c>
    </row>
    <row r="15" spans="1:9">
      <c r="A15" s="233">
        <v>2017</v>
      </c>
      <c r="B15" s="87">
        <v>32835</v>
      </c>
      <c r="C15" s="304">
        <v>0.5242</v>
      </c>
      <c r="D15" s="304">
        <v>0.40339999999999998</v>
      </c>
      <c r="E15" s="176">
        <v>7.2499999999999995E-2</v>
      </c>
      <c r="F15" s="59">
        <v>432503</v>
      </c>
      <c r="G15" s="59">
        <v>9149</v>
      </c>
      <c r="H15" s="59">
        <v>281688</v>
      </c>
      <c r="I15" s="59">
        <v>4331753</v>
      </c>
    </row>
    <row r="16" spans="1:9">
      <c r="A16" s="233">
        <v>2018</v>
      </c>
      <c r="B16" s="87">
        <v>32992</v>
      </c>
      <c r="C16" s="304">
        <v>0.51139999999999997</v>
      </c>
      <c r="D16" s="304">
        <v>0.41160000000000002</v>
      </c>
      <c r="E16" s="176">
        <v>7.6999999999999999E-2</v>
      </c>
      <c r="F16" s="59">
        <v>471368.99</v>
      </c>
      <c r="G16" s="59">
        <v>9463.11</v>
      </c>
      <c r="H16" s="59">
        <v>286709.53999999998</v>
      </c>
      <c r="I16" s="59">
        <v>4526970.83</v>
      </c>
    </row>
    <row r="17" spans="1:9" ht="13.5" thickBot="1">
      <c r="A17" s="281">
        <v>2019</v>
      </c>
      <c r="B17" s="174">
        <v>33301</v>
      </c>
      <c r="C17" s="269">
        <v>0.50449999999999995</v>
      </c>
      <c r="D17" s="269">
        <v>0.41649999999999998</v>
      </c>
      <c r="E17" s="241">
        <v>7.9000000000000001E-2</v>
      </c>
      <c r="F17" s="136">
        <v>471928.18</v>
      </c>
      <c r="G17" s="136">
        <v>9484.06</v>
      </c>
      <c r="H17" s="136">
        <v>287963.14</v>
      </c>
      <c r="I17" s="136">
        <v>4394534.7</v>
      </c>
    </row>
    <row r="19" spans="1:9">
      <c r="A19" s="363" t="s">
        <v>506</v>
      </c>
      <c r="B19" s="363"/>
      <c r="C19" s="363"/>
      <c r="D19" s="363"/>
    </row>
    <row r="20" spans="1:9" ht="26.25" customHeight="1">
      <c r="A20" s="391" t="s">
        <v>459</v>
      </c>
      <c r="B20" s="395"/>
      <c r="C20" s="395"/>
      <c r="D20" s="395"/>
      <c r="E20" s="395"/>
      <c r="F20" s="397"/>
      <c r="G20" s="397"/>
      <c r="H20" s="397"/>
      <c r="I20" s="397"/>
    </row>
    <row r="21" spans="1:9" ht="39" customHeight="1">
      <c r="A21" s="391" t="s">
        <v>530</v>
      </c>
      <c r="B21" s="371"/>
      <c r="C21" s="371"/>
      <c r="D21" s="371"/>
      <c r="E21" s="371"/>
      <c r="F21" s="371"/>
      <c r="G21" s="371"/>
      <c r="H21" s="371"/>
      <c r="I21" s="371"/>
    </row>
    <row r="23" spans="1:9">
      <c r="A23" s="9" t="s">
        <v>184</v>
      </c>
    </row>
    <row r="24" spans="1:9">
      <c r="A24" s="10" t="s">
        <v>197</v>
      </c>
      <c r="B24" s="10"/>
      <c r="C24" s="10"/>
      <c r="D24" s="10"/>
      <c r="E24" s="10"/>
      <c r="F24" s="10"/>
      <c r="G24" s="10"/>
    </row>
  </sheetData>
  <mergeCells count="6">
    <mergeCell ref="A21:I21"/>
    <mergeCell ref="A19:D19"/>
    <mergeCell ref="F4:I4"/>
    <mergeCell ref="A1:I1"/>
    <mergeCell ref="A20:I20"/>
    <mergeCell ref="C4:E4"/>
  </mergeCell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7"/>
  <sheetViews>
    <sheetView zoomScaleNormal="100" workbookViewId="0">
      <selection activeCell="A22" sqref="A22"/>
    </sheetView>
  </sheetViews>
  <sheetFormatPr baseColWidth="10" defaultRowHeight="12.75"/>
  <cols>
    <col min="1" max="1" width="15.7109375" customWidth="1"/>
    <col min="2" max="6" width="14.28515625" customWidth="1"/>
  </cols>
  <sheetData>
    <row r="1" spans="1:8" ht="15">
      <c r="A1" s="360" t="s">
        <v>538</v>
      </c>
      <c r="B1" s="360"/>
      <c r="C1" s="360"/>
      <c r="D1" s="360"/>
      <c r="E1" s="360"/>
      <c r="F1" s="360"/>
    </row>
    <row r="2" spans="1:8">
      <c r="E2" s="2"/>
      <c r="F2" s="2" t="s">
        <v>539</v>
      </c>
    </row>
    <row r="3" spans="1:8" ht="13.5" thickBot="1">
      <c r="A3" s="20"/>
    </row>
    <row r="4" spans="1:8" ht="25.5">
      <c r="A4" s="108"/>
      <c r="B4" s="317" t="s">
        <v>104</v>
      </c>
      <c r="C4" s="317" t="s">
        <v>364</v>
      </c>
      <c r="D4" s="317" t="s">
        <v>365</v>
      </c>
      <c r="E4" s="317" t="s">
        <v>366</v>
      </c>
      <c r="F4" s="317" t="s">
        <v>472</v>
      </c>
    </row>
    <row r="5" spans="1:8">
      <c r="A5" s="302" t="s">
        <v>474</v>
      </c>
      <c r="B5" s="303" t="s">
        <v>389</v>
      </c>
      <c r="C5" s="303" t="s">
        <v>389</v>
      </c>
      <c r="D5" s="303"/>
      <c r="E5" s="303"/>
      <c r="F5" s="303" t="s">
        <v>403</v>
      </c>
    </row>
    <row r="6" spans="1:8">
      <c r="A6" s="17"/>
      <c r="B6" s="290"/>
      <c r="C6" s="290"/>
      <c r="D6" s="290"/>
      <c r="E6" s="290"/>
      <c r="F6" s="290"/>
    </row>
    <row r="7" spans="1:8">
      <c r="A7" s="233">
        <v>2011</v>
      </c>
      <c r="B7" s="87">
        <v>580244</v>
      </c>
      <c r="C7" s="87">
        <v>73634</v>
      </c>
      <c r="D7" s="291">
        <v>13.876035527066302</v>
      </c>
      <c r="E7" s="292">
        <v>0.84544465000000013</v>
      </c>
      <c r="F7" s="97">
        <v>8103.1055029999998</v>
      </c>
    </row>
    <row r="8" spans="1:8">
      <c r="A8" s="233">
        <v>2012</v>
      </c>
      <c r="B8" s="87">
        <v>583260</v>
      </c>
      <c r="C8" s="87">
        <v>75221</v>
      </c>
      <c r="D8" s="291">
        <v>13.934670000000001</v>
      </c>
      <c r="E8" s="292">
        <v>0.84520258000000048</v>
      </c>
      <c r="F8" s="97">
        <v>9280.2495259999996</v>
      </c>
      <c r="H8" s="50"/>
    </row>
    <row r="9" spans="1:8">
      <c r="A9" s="233">
        <v>2013</v>
      </c>
      <c r="B9" s="87">
        <v>707873</v>
      </c>
      <c r="C9" s="87">
        <v>82847</v>
      </c>
      <c r="D9" s="291">
        <v>13.538019999999999</v>
      </c>
      <c r="E9" s="292">
        <v>0.85954702999999988</v>
      </c>
      <c r="F9" s="97">
        <v>11447.008833</v>
      </c>
      <c r="H9" s="50"/>
    </row>
    <row r="10" spans="1:8">
      <c r="A10" s="233">
        <v>2014</v>
      </c>
      <c r="B10" s="293">
        <v>815341</v>
      </c>
      <c r="C10" s="293">
        <v>89192</v>
      </c>
      <c r="D10" s="308">
        <v>14.242559999999999</v>
      </c>
      <c r="E10" s="309">
        <v>0.86605533000000023</v>
      </c>
      <c r="F10" s="97">
        <v>13382.198076000001</v>
      </c>
      <c r="H10" s="50"/>
    </row>
    <row r="11" spans="1:8">
      <c r="A11" s="233">
        <v>2015</v>
      </c>
      <c r="B11" s="293">
        <v>811085</v>
      </c>
      <c r="C11" s="293">
        <v>96768</v>
      </c>
      <c r="D11" s="308">
        <v>13.889653604497354</v>
      </c>
      <c r="E11" s="310">
        <v>0.85595912000000007</v>
      </c>
      <c r="F11" s="97">
        <v>13432.372472999999</v>
      </c>
      <c r="H11" s="50"/>
    </row>
    <row r="12" spans="1:8">
      <c r="A12" s="233">
        <v>2016</v>
      </c>
      <c r="B12" s="293">
        <v>806048</v>
      </c>
      <c r="C12" s="293">
        <v>103886</v>
      </c>
      <c r="D12" s="308">
        <v>13.27</v>
      </c>
      <c r="E12" s="310">
        <v>0.84991373189999997</v>
      </c>
      <c r="F12" s="97">
        <v>13488.4118</v>
      </c>
      <c r="H12" s="50"/>
    </row>
    <row r="13" spans="1:8">
      <c r="A13" s="233">
        <v>2017</v>
      </c>
      <c r="B13" s="293">
        <v>836301</v>
      </c>
      <c r="C13" s="293">
        <v>111901</v>
      </c>
      <c r="D13" s="308">
        <v>12.98</v>
      </c>
      <c r="E13" s="310">
        <v>0.84799999999999998</v>
      </c>
      <c r="F13" s="97">
        <v>14201.300000000001</v>
      </c>
      <c r="H13" s="50"/>
    </row>
    <row r="14" spans="1:8">
      <c r="A14" s="233">
        <v>2018</v>
      </c>
      <c r="B14" s="293">
        <v>903574</v>
      </c>
      <c r="C14" s="293">
        <v>120108</v>
      </c>
      <c r="D14" s="308">
        <v>12.7979152</v>
      </c>
      <c r="E14" s="310">
        <v>0.84960328299999999</v>
      </c>
      <c r="F14" s="97">
        <v>15551.405857</v>
      </c>
      <c r="H14" s="50"/>
    </row>
    <row r="15" spans="1:8" ht="13.5" thickBot="1">
      <c r="A15" s="281">
        <v>2019</v>
      </c>
      <c r="B15" s="298">
        <v>902784.94</v>
      </c>
      <c r="C15" s="298">
        <v>125754.5</v>
      </c>
      <c r="D15" s="311">
        <v>12.26416</v>
      </c>
      <c r="E15" s="312">
        <v>0.84570111910000001</v>
      </c>
      <c r="F15" s="270">
        <v>15715.680308000001</v>
      </c>
      <c r="H15" s="50"/>
    </row>
    <row r="16" spans="1:8">
      <c r="A16" s="10"/>
    </row>
    <row r="17" spans="1:7">
      <c r="A17" s="9" t="s">
        <v>184</v>
      </c>
    </row>
    <row r="18" spans="1:7">
      <c r="A18" s="10" t="s">
        <v>197</v>
      </c>
      <c r="B18" s="10"/>
      <c r="C18" s="10"/>
      <c r="D18" s="10"/>
      <c r="E18" s="10"/>
      <c r="F18" s="10"/>
      <c r="G18" s="10"/>
    </row>
    <row r="22" spans="1:7">
      <c r="B22" s="70"/>
    </row>
    <row r="23" spans="1:7">
      <c r="B23" s="70"/>
    </row>
    <row r="24" spans="1:7">
      <c r="B24" s="72"/>
    </row>
    <row r="25" spans="1:7">
      <c r="B25" s="73"/>
    </row>
    <row r="27" spans="1:7">
      <c r="B27" s="70"/>
      <c r="C27" s="70"/>
      <c r="D27" s="72"/>
      <c r="E27" s="73"/>
    </row>
  </sheetData>
  <mergeCells count="1">
    <mergeCell ref="A1:F1"/>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17"/>
  <sheetViews>
    <sheetView zoomScaleNormal="100" workbookViewId="0">
      <selection activeCell="B13" sqref="B13"/>
    </sheetView>
  </sheetViews>
  <sheetFormatPr baseColWidth="10" defaultRowHeight="12.75"/>
  <cols>
    <col min="1" max="1" width="16.7109375" customWidth="1"/>
    <col min="2" max="2" width="9.85546875" customWidth="1"/>
    <col min="3" max="8" width="8.5703125" customWidth="1"/>
    <col min="9" max="9" width="9" customWidth="1"/>
  </cols>
  <sheetData>
    <row r="1" spans="1:9" ht="30" customHeight="1">
      <c r="A1" s="404" t="s">
        <v>540</v>
      </c>
      <c r="B1" s="405"/>
      <c r="C1" s="405"/>
      <c r="D1" s="405"/>
      <c r="E1" s="405"/>
      <c r="F1" s="405"/>
      <c r="G1" s="405"/>
      <c r="H1" s="405"/>
      <c r="I1" s="405"/>
    </row>
    <row r="2" spans="1:9">
      <c r="I2" s="2" t="s">
        <v>541</v>
      </c>
    </row>
    <row r="3" spans="1:9" ht="13.5" thickBot="1">
      <c r="A3" s="20"/>
    </row>
    <row r="4" spans="1:9" ht="38.25">
      <c r="A4" s="108"/>
      <c r="B4" s="317" t="s">
        <v>542</v>
      </c>
      <c r="C4" s="402" t="s">
        <v>433</v>
      </c>
      <c r="D4" s="406"/>
      <c r="E4" s="406"/>
      <c r="F4" s="402" t="s">
        <v>374</v>
      </c>
      <c r="G4" s="403"/>
      <c r="H4" s="403"/>
      <c r="I4" s="403"/>
    </row>
    <row r="5" spans="1:9" ht="38.25">
      <c r="A5" s="302" t="s">
        <v>474</v>
      </c>
      <c r="B5" s="305"/>
      <c r="C5" s="306" t="s">
        <v>376</v>
      </c>
      <c r="D5" s="307" t="s">
        <v>463</v>
      </c>
      <c r="E5" s="307" t="s">
        <v>383</v>
      </c>
      <c r="F5" s="307" t="s">
        <v>100</v>
      </c>
      <c r="G5" s="306" t="s">
        <v>376</v>
      </c>
      <c r="H5" s="307" t="s">
        <v>463</v>
      </c>
      <c r="I5" s="307" t="s">
        <v>383</v>
      </c>
    </row>
    <row r="6" spans="1:9">
      <c r="A6" s="233">
        <v>2011</v>
      </c>
      <c r="B6" s="87">
        <v>13965</v>
      </c>
      <c r="C6" s="304">
        <v>0.44969999999999999</v>
      </c>
      <c r="D6" s="304">
        <v>0.44779999999999998</v>
      </c>
      <c r="E6" s="176">
        <v>0.10249999999999999</v>
      </c>
      <c r="F6" s="87">
        <v>580244</v>
      </c>
      <c r="G6" s="59">
        <v>9454</v>
      </c>
      <c r="H6" s="59">
        <v>308115</v>
      </c>
      <c r="I6" s="59">
        <v>4274482</v>
      </c>
    </row>
    <row r="7" spans="1:9">
      <c r="A7" s="233">
        <v>2012</v>
      </c>
      <c r="B7" s="87">
        <v>15911</v>
      </c>
      <c r="C7" s="304">
        <v>0.44940000000000002</v>
      </c>
      <c r="D7" s="304">
        <v>0.44469999999999998</v>
      </c>
      <c r="E7" s="176">
        <v>0.10589999999999999</v>
      </c>
      <c r="F7" s="87">
        <v>583260</v>
      </c>
      <c r="G7" s="59">
        <v>9597</v>
      </c>
      <c r="H7" s="59">
        <v>306294</v>
      </c>
      <c r="I7" s="59">
        <v>4180764</v>
      </c>
    </row>
    <row r="8" spans="1:9">
      <c r="A8" s="233">
        <v>2013</v>
      </c>
      <c r="B8" s="87">
        <v>16171</v>
      </c>
      <c r="C8" s="304">
        <v>0.43619999999999998</v>
      </c>
      <c r="D8" s="304">
        <v>0.45179999999999998</v>
      </c>
      <c r="E8" s="176">
        <v>0.11210000000000001</v>
      </c>
      <c r="F8" s="87">
        <v>707873</v>
      </c>
      <c r="G8" s="59">
        <v>9684</v>
      </c>
      <c r="H8" s="59">
        <v>312609</v>
      </c>
      <c r="I8" s="59">
        <v>5019199</v>
      </c>
    </row>
    <row r="9" spans="1:9">
      <c r="A9" s="233">
        <v>2014</v>
      </c>
      <c r="B9" s="87">
        <v>16413</v>
      </c>
      <c r="C9" s="304">
        <v>0.42770000000000002</v>
      </c>
      <c r="D9" s="304">
        <v>0.44789999999999996</v>
      </c>
      <c r="E9" s="176">
        <v>0.1244</v>
      </c>
      <c r="F9" s="87">
        <v>815341</v>
      </c>
      <c r="G9" s="59">
        <v>9528</v>
      </c>
      <c r="H9" s="59">
        <v>317065</v>
      </c>
      <c r="I9" s="59">
        <v>5379317</v>
      </c>
    </row>
    <row r="10" spans="1:9">
      <c r="A10" s="233">
        <v>2015</v>
      </c>
      <c r="B10" s="87">
        <v>16561</v>
      </c>
      <c r="C10" s="304">
        <v>0.41820000000000002</v>
      </c>
      <c r="D10" s="304">
        <v>0.45</v>
      </c>
      <c r="E10" s="176">
        <v>0.1318</v>
      </c>
      <c r="F10" s="87">
        <v>811085</v>
      </c>
      <c r="G10" s="59">
        <v>9877</v>
      </c>
      <c r="H10" s="59">
        <v>320181</v>
      </c>
      <c r="I10" s="59">
        <v>5028707</v>
      </c>
    </row>
    <row r="11" spans="1:9">
      <c r="A11" s="233">
        <v>2016</v>
      </c>
      <c r="B11" s="87">
        <v>16734</v>
      </c>
      <c r="C11" s="304">
        <v>0.40770000000000001</v>
      </c>
      <c r="D11" s="304">
        <v>0.45669999999999999</v>
      </c>
      <c r="E11" s="176">
        <v>0.13569999999999999</v>
      </c>
      <c r="F11" s="87">
        <v>806048</v>
      </c>
      <c r="G11" s="59">
        <v>9899</v>
      </c>
      <c r="H11" s="59">
        <v>324964</v>
      </c>
      <c r="I11" s="59">
        <v>4818284</v>
      </c>
    </row>
    <row r="12" spans="1:9">
      <c r="A12" s="233">
        <v>2017</v>
      </c>
      <c r="B12" s="87">
        <v>16981</v>
      </c>
      <c r="C12" s="304">
        <v>0.39710000000000001</v>
      </c>
      <c r="D12" s="304">
        <v>0.46189999999999998</v>
      </c>
      <c r="E12" s="176">
        <v>0.14099999999999999</v>
      </c>
      <c r="F12" s="87">
        <v>836301</v>
      </c>
      <c r="G12" s="59">
        <v>10096</v>
      </c>
      <c r="H12" s="59">
        <v>326393</v>
      </c>
      <c r="I12" s="59">
        <v>4832250</v>
      </c>
    </row>
    <row r="13" spans="1:9">
      <c r="A13" s="233">
        <v>2018</v>
      </c>
      <c r="B13" s="87">
        <v>17211</v>
      </c>
      <c r="C13" s="304">
        <v>0.3856</v>
      </c>
      <c r="D13" s="304">
        <v>0.46560000000000001</v>
      </c>
      <c r="E13" s="176">
        <v>0.14879999999999999</v>
      </c>
      <c r="F13" s="87">
        <v>903573.64</v>
      </c>
      <c r="G13" s="59">
        <v>10243.57</v>
      </c>
      <c r="H13" s="59">
        <v>327966.49</v>
      </c>
      <c r="I13" s="59">
        <v>5019689.0999999996</v>
      </c>
    </row>
    <row r="14" spans="1:9" ht="13.5" thickBot="1">
      <c r="A14" s="281">
        <v>2019</v>
      </c>
      <c r="B14" s="174">
        <v>17408</v>
      </c>
      <c r="C14" s="269">
        <v>0.38109999999999999</v>
      </c>
      <c r="D14" s="269">
        <v>0.46700000000000003</v>
      </c>
      <c r="E14" s="241">
        <v>0.15190000000000001</v>
      </c>
      <c r="F14" s="174">
        <v>902784.94</v>
      </c>
      <c r="G14" s="136">
        <v>10149.64</v>
      </c>
      <c r="H14" s="136">
        <v>330455.52</v>
      </c>
      <c r="I14" s="136">
        <v>4902445</v>
      </c>
    </row>
    <row r="16" spans="1:9">
      <c r="A16" s="9" t="s">
        <v>184</v>
      </c>
    </row>
    <row r="17" spans="1:7">
      <c r="A17" s="10" t="s">
        <v>197</v>
      </c>
      <c r="B17" s="10"/>
      <c r="C17" s="10"/>
      <c r="D17" s="10"/>
      <c r="E17" s="10"/>
      <c r="F17" s="10"/>
      <c r="G17" s="10"/>
    </row>
  </sheetData>
  <mergeCells count="3">
    <mergeCell ref="A1:I1"/>
    <mergeCell ref="C4:E4"/>
    <mergeCell ref="F4:I4"/>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9"/>
  <sheetViews>
    <sheetView zoomScaleNormal="100" workbookViewId="0">
      <selection activeCell="A22" sqref="A22"/>
    </sheetView>
  </sheetViews>
  <sheetFormatPr baseColWidth="10" defaultRowHeight="12.75"/>
  <cols>
    <col min="1" max="1" width="15.140625" customWidth="1"/>
    <col min="2" max="6" width="14.7109375" customWidth="1"/>
  </cols>
  <sheetData>
    <row r="1" spans="1:8" ht="15">
      <c r="A1" s="360" t="s">
        <v>464</v>
      </c>
      <c r="B1" s="360"/>
      <c r="C1" s="360"/>
      <c r="D1" s="360"/>
      <c r="E1" s="360"/>
      <c r="F1" s="360"/>
    </row>
    <row r="2" spans="1:8">
      <c r="F2" s="2" t="s">
        <v>465</v>
      </c>
    </row>
    <row r="3" spans="1:8" ht="13.5" thickBot="1">
      <c r="A3" s="20"/>
    </row>
    <row r="4" spans="1:8" ht="25.5">
      <c r="A4" s="108"/>
      <c r="B4" s="317" t="s">
        <v>104</v>
      </c>
      <c r="C4" s="317" t="s">
        <v>364</v>
      </c>
      <c r="D4" s="317" t="s">
        <v>365</v>
      </c>
      <c r="E4" s="317" t="s">
        <v>366</v>
      </c>
      <c r="F4" s="317" t="s">
        <v>473</v>
      </c>
    </row>
    <row r="5" spans="1:8">
      <c r="A5" s="302" t="s">
        <v>474</v>
      </c>
      <c r="B5" s="303" t="s">
        <v>389</v>
      </c>
      <c r="C5" s="303" t="s">
        <v>389</v>
      </c>
      <c r="D5" s="303"/>
      <c r="E5" s="303"/>
      <c r="F5" s="303" t="s">
        <v>403</v>
      </c>
    </row>
    <row r="6" spans="1:8">
      <c r="A6" s="17"/>
      <c r="B6" s="17"/>
      <c r="C6" s="17"/>
      <c r="D6" s="17"/>
      <c r="E6" s="17"/>
      <c r="F6" s="17"/>
    </row>
    <row r="7" spans="1:8">
      <c r="A7" s="233">
        <v>2000</v>
      </c>
      <c r="B7" s="59">
        <v>53010.48</v>
      </c>
      <c r="C7" s="59">
        <v>45025</v>
      </c>
      <c r="D7" s="292">
        <v>1.9789006107717935</v>
      </c>
      <c r="E7" s="292">
        <v>0.40881500000000082</v>
      </c>
      <c r="F7" s="97">
        <v>1407.4811500000001</v>
      </c>
    </row>
    <row r="8" spans="1:8">
      <c r="A8" s="233">
        <v>2009</v>
      </c>
      <c r="B8" s="59">
        <v>59529.54</v>
      </c>
      <c r="C8" s="59">
        <v>50692.5</v>
      </c>
      <c r="D8" s="292">
        <v>2.0727079942792326</v>
      </c>
      <c r="E8" s="292">
        <v>0.41523300000000041</v>
      </c>
      <c r="F8" s="97">
        <v>1796.0063070000001</v>
      </c>
      <c r="H8" s="50"/>
    </row>
    <row r="9" spans="1:8">
      <c r="A9" s="233">
        <v>2010</v>
      </c>
      <c r="B9" s="87">
        <v>59063</v>
      </c>
      <c r="C9" s="87">
        <v>51080</v>
      </c>
      <c r="D9" s="236">
        <v>2.0538958496476116</v>
      </c>
      <c r="E9" s="292">
        <v>0.40288999999999975</v>
      </c>
      <c r="F9" s="313">
        <v>1786.1870160000001</v>
      </c>
      <c r="H9" s="50"/>
    </row>
    <row r="10" spans="1:8">
      <c r="A10" s="233">
        <v>2011</v>
      </c>
      <c r="B10" s="87">
        <v>60168</v>
      </c>
      <c r="C10" s="87">
        <v>51926</v>
      </c>
      <c r="D10" s="236">
        <v>2.0527481415861031</v>
      </c>
      <c r="E10" s="292">
        <v>0.40977999999999981</v>
      </c>
      <c r="F10" s="97">
        <v>1644.9886200000001</v>
      </c>
      <c r="H10" s="50"/>
    </row>
    <row r="11" spans="1:8">
      <c r="A11" s="233">
        <v>2012</v>
      </c>
      <c r="B11" s="87">
        <v>59176</v>
      </c>
      <c r="C11" s="87">
        <v>51689</v>
      </c>
      <c r="D11" s="236">
        <f>105975/C11</f>
        <v>2.0502427982742941</v>
      </c>
      <c r="E11" s="292">
        <v>0.40546000000000015</v>
      </c>
      <c r="F11" s="97">
        <v>1845.472223</v>
      </c>
      <c r="H11" s="50"/>
    </row>
    <row r="12" spans="1:8">
      <c r="A12" s="233">
        <v>2013</v>
      </c>
      <c r="B12" s="87">
        <v>60483</v>
      </c>
      <c r="C12" s="87">
        <v>51758</v>
      </c>
      <c r="D12" s="236">
        <v>2.0594999999999999</v>
      </c>
      <c r="E12" s="292">
        <v>0.41879099999999969</v>
      </c>
      <c r="F12" s="97">
        <v>1912.3000790000001</v>
      </c>
      <c r="H12" s="50"/>
    </row>
    <row r="13" spans="1:8">
      <c r="A13" s="233">
        <v>2014</v>
      </c>
      <c r="B13" s="293">
        <v>59999</v>
      </c>
      <c r="C13" s="293">
        <v>51941</v>
      </c>
      <c r="D13" s="309">
        <v>2.0819000000000001</v>
      </c>
      <c r="E13" s="296">
        <v>0.41168100000000019</v>
      </c>
      <c r="F13" s="314">
        <v>1910.9182720000001</v>
      </c>
      <c r="H13" s="50"/>
    </row>
    <row r="14" spans="1:8">
      <c r="A14" s="233">
        <v>2015</v>
      </c>
      <c r="B14" s="293">
        <v>59915</v>
      </c>
      <c r="C14" s="293">
        <v>52007</v>
      </c>
      <c r="D14" s="292">
        <v>2.0643759493914282</v>
      </c>
      <c r="E14" s="235">
        <v>0.41187400000000002</v>
      </c>
      <c r="F14" s="314">
        <v>1926.1383780000001</v>
      </c>
      <c r="H14" s="50"/>
    </row>
    <row r="15" spans="1:8">
      <c r="A15" s="233">
        <v>2016</v>
      </c>
      <c r="B15" s="293">
        <v>60603</v>
      </c>
      <c r="C15" s="293">
        <v>51981</v>
      </c>
      <c r="D15" s="292">
        <v>2.0760000000000001</v>
      </c>
      <c r="E15" s="235">
        <v>0.42101350500000001</v>
      </c>
      <c r="F15" s="314">
        <v>1969.4801500000001</v>
      </c>
      <c r="H15" s="50"/>
    </row>
    <row r="16" spans="1:8">
      <c r="A16" s="233">
        <v>2017</v>
      </c>
      <c r="B16" s="293">
        <v>60959</v>
      </c>
      <c r="C16" s="293">
        <v>52093</v>
      </c>
      <c r="D16" s="292">
        <v>2.0859999999999999</v>
      </c>
      <c r="E16" s="235">
        <v>0.42</v>
      </c>
      <c r="F16" s="314">
        <v>2001.6</v>
      </c>
      <c r="H16" s="50"/>
    </row>
    <row r="17" spans="1:8">
      <c r="A17" s="233">
        <v>2018</v>
      </c>
      <c r="B17" s="293">
        <v>61722</v>
      </c>
      <c r="C17" s="293">
        <v>52855</v>
      </c>
      <c r="D17" s="292">
        <v>2.0775707099999998</v>
      </c>
      <c r="E17" s="235">
        <v>0.41546182100000001</v>
      </c>
      <c r="F17" s="314">
        <v>2036.3445509999999</v>
      </c>
      <c r="H17" s="50"/>
    </row>
    <row r="18" spans="1:8" ht="13.5" thickBot="1">
      <c r="A18" s="281">
        <v>2019</v>
      </c>
      <c r="B18" s="298">
        <v>63010.38</v>
      </c>
      <c r="C18" s="298">
        <v>53553</v>
      </c>
      <c r="D18" s="315">
        <v>2.0817899999999998</v>
      </c>
      <c r="E18" s="238">
        <v>0.41985749039999998</v>
      </c>
      <c r="F18" s="316">
        <v>2098.3085959999999</v>
      </c>
    </row>
    <row r="20" spans="1:8">
      <c r="A20" s="9" t="s">
        <v>184</v>
      </c>
      <c r="C20" s="3"/>
    </row>
    <row r="21" spans="1:8">
      <c r="A21" s="10" t="s">
        <v>197</v>
      </c>
      <c r="B21" s="10"/>
      <c r="C21" s="354"/>
      <c r="D21" s="10"/>
      <c r="E21" s="10"/>
      <c r="F21" s="10"/>
      <c r="G21" s="10"/>
    </row>
    <row r="22" spans="1:8">
      <c r="D22" s="73"/>
      <c r="E22" s="71"/>
    </row>
    <row r="24" spans="1:8">
      <c r="B24" s="70"/>
    </row>
    <row r="25" spans="1:8">
      <c r="B25" s="70"/>
    </row>
    <row r="26" spans="1:8">
      <c r="B26" s="73"/>
    </row>
    <row r="27" spans="1:8">
      <c r="B27" s="71"/>
    </row>
    <row r="29" spans="1:8">
      <c r="B29" s="70"/>
      <c r="C29" s="70"/>
      <c r="D29" s="73"/>
      <c r="E29" s="71"/>
    </row>
  </sheetData>
  <mergeCells count="1">
    <mergeCell ref="A1:F1"/>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0"/>
  <sheetViews>
    <sheetView zoomScaleNormal="100" workbookViewId="0">
      <selection activeCell="A22" sqref="A22"/>
    </sheetView>
  </sheetViews>
  <sheetFormatPr baseColWidth="10" defaultRowHeight="12.75"/>
  <cols>
    <col min="1" max="1" width="16.140625" customWidth="1"/>
    <col min="2" max="2" width="9.5703125" customWidth="1"/>
    <col min="3" max="9" width="8.5703125" customWidth="1"/>
  </cols>
  <sheetData>
    <row r="1" spans="1:9" ht="30" customHeight="1">
      <c r="A1" s="404" t="s">
        <v>466</v>
      </c>
      <c r="B1" s="405"/>
      <c r="C1" s="405"/>
      <c r="D1" s="405"/>
      <c r="E1" s="405"/>
      <c r="F1" s="405"/>
      <c r="G1" s="405"/>
      <c r="H1" s="405"/>
      <c r="I1" s="405"/>
    </row>
    <row r="2" spans="1:9">
      <c r="I2" s="2" t="s">
        <v>467</v>
      </c>
    </row>
    <row r="3" spans="1:9" ht="13.5" thickBot="1">
      <c r="A3" s="20"/>
    </row>
    <row r="4" spans="1:9" ht="25.5">
      <c r="A4" s="91"/>
      <c r="B4" s="317" t="s">
        <v>372</v>
      </c>
      <c r="C4" s="402" t="s">
        <v>373</v>
      </c>
      <c r="D4" s="406"/>
      <c r="E4" s="406"/>
      <c r="F4" s="402" t="s">
        <v>410</v>
      </c>
      <c r="G4" s="403"/>
      <c r="H4" s="403"/>
      <c r="I4" s="403"/>
    </row>
    <row r="5" spans="1:9" ht="38.25">
      <c r="A5" s="302" t="s">
        <v>474</v>
      </c>
      <c r="B5" s="305"/>
      <c r="C5" s="306" t="s">
        <v>422</v>
      </c>
      <c r="D5" s="307" t="s">
        <v>468</v>
      </c>
      <c r="E5" s="307" t="s">
        <v>469</v>
      </c>
      <c r="F5" s="307" t="s">
        <v>100</v>
      </c>
      <c r="G5" s="306" t="s">
        <v>422</v>
      </c>
      <c r="H5" s="307" t="s">
        <v>468</v>
      </c>
      <c r="I5" s="307" t="s">
        <v>469</v>
      </c>
    </row>
    <row r="6" spans="1:9">
      <c r="A6" s="233">
        <v>2000</v>
      </c>
      <c r="B6" s="87">
        <v>26551</v>
      </c>
      <c r="C6" s="304">
        <v>0.1298</v>
      </c>
      <c r="D6" s="304">
        <v>0.82700000000000007</v>
      </c>
      <c r="E6" s="176">
        <v>4.3200000000000002E-2</v>
      </c>
      <c r="F6" s="59">
        <v>53010.48</v>
      </c>
      <c r="G6" s="59">
        <v>5048.95</v>
      </c>
      <c r="H6" s="59">
        <v>50849.87</v>
      </c>
      <c r="I6" s="59">
        <v>238426.49</v>
      </c>
    </row>
    <row r="7" spans="1:9">
      <c r="A7" s="233">
        <v>2009</v>
      </c>
      <c r="B7" s="87">
        <v>30170</v>
      </c>
      <c r="C7" s="304">
        <v>0.128</v>
      </c>
      <c r="D7" s="304">
        <v>0.8012999999999999</v>
      </c>
      <c r="E7" s="176">
        <v>7.0699999999999999E-2</v>
      </c>
      <c r="F7" s="59">
        <v>59529.54</v>
      </c>
      <c r="G7" s="59">
        <v>4570.49</v>
      </c>
      <c r="H7" s="59">
        <v>55278.16</v>
      </c>
      <c r="I7" s="59">
        <v>207151.29</v>
      </c>
    </row>
    <row r="8" spans="1:9">
      <c r="A8" s="233">
        <v>2010</v>
      </c>
      <c r="B8" s="87">
        <v>30242</v>
      </c>
      <c r="C8" s="304">
        <v>0.124</v>
      </c>
      <c r="D8" s="304">
        <v>0.80599999999999994</v>
      </c>
      <c r="E8" s="176">
        <v>7.0000000000000007E-2</v>
      </c>
      <c r="F8" s="59">
        <v>59063</v>
      </c>
      <c r="G8" s="59">
        <v>4791</v>
      </c>
      <c r="H8" s="59">
        <v>55530</v>
      </c>
      <c r="I8" s="59">
        <v>196551</v>
      </c>
    </row>
    <row r="9" spans="1:9">
      <c r="A9" s="233">
        <v>2011</v>
      </c>
      <c r="B9" s="87">
        <v>27340</v>
      </c>
      <c r="C9" s="304">
        <v>0.128</v>
      </c>
      <c r="D9" s="304">
        <v>0.8</v>
      </c>
      <c r="E9" s="176">
        <v>7.2000000000000008E-2</v>
      </c>
      <c r="F9" s="59">
        <v>60168</v>
      </c>
      <c r="G9" s="59">
        <v>4525</v>
      </c>
      <c r="H9" s="59">
        <v>56326</v>
      </c>
      <c r="I9" s="59">
        <v>201665</v>
      </c>
    </row>
    <row r="10" spans="1:9">
      <c r="A10" s="233">
        <v>2012</v>
      </c>
      <c r="B10" s="87">
        <v>31186</v>
      </c>
      <c r="C10" s="304">
        <v>0.13100000000000001</v>
      </c>
      <c r="D10" s="304">
        <v>0.80099999999999993</v>
      </c>
      <c r="E10" s="176">
        <v>6.8000000000000005E-2</v>
      </c>
      <c r="F10" s="59">
        <v>59176</v>
      </c>
      <c r="G10" s="59">
        <v>4481</v>
      </c>
      <c r="H10" s="59">
        <v>56398</v>
      </c>
      <c r="I10" s="59">
        <v>196237</v>
      </c>
    </row>
    <row r="11" spans="1:9">
      <c r="A11" s="233">
        <v>2013</v>
      </c>
      <c r="B11" s="87">
        <v>31617</v>
      </c>
      <c r="C11" s="304">
        <v>0.13200000000000001</v>
      </c>
      <c r="D11" s="304">
        <v>0.79700000000000004</v>
      </c>
      <c r="E11" s="176">
        <v>7.0999999999999994E-2</v>
      </c>
      <c r="F11" s="59">
        <v>60483</v>
      </c>
      <c r="G11" s="59">
        <v>4349</v>
      </c>
      <c r="H11" s="59">
        <v>56407</v>
      </c>
      <c r="I11" s="59">
        <v>211758</v>
      </c>
    </row>
    <row r="12" spans="1:9">
      <c r="A12" s="233">
        <v>2014</v>
      </c>
      <c r="B12" s="87">
        <v>31849</v>
      </c>
      <c r="C12" s="304">
        <v>0.13200000000000001</v>
      </c>
      <c r="D12" s="304">
        <v>0.79400000000000004</v>
      </c>
      <c r="E12" s="176">
        <v>7.400000000000001E-2</v>
      </c>
      <c r="F12" s="59">
        <v>59999</v>
      </c>
      <c r="G12" s="59">
        <v>4557</v>
      </c>
      <c r="H12" s="59">
        <v>56532</v>
      </c>
      <c r="I12" s="59">
        <v>197033</v>
      </c>
    </row>
    <row r="13" spans="1:9">
      <c r="A13" s="233">
        <v>2015</v>
      </c>
      <c r="B13" s="87">
        <v>32148</v>
      </c>
      <c r="C13" s="304">
        <v>0.13300000000000001</v>
      </c>
      <c r="D13" s="304">
        <v>0.79400000000000004</v>
      </c>
      <c r="E13" s="176">
        <v>7.2999999999999995E-2</v>
      </c>
      <c r="F13" s="59">
        <v>59915</v>
      </c>
      <c r="G13" s="59">
        <v>4612</v>
      </c>
      <c r="H13" s="59">
        <v>56566</v>
      </c>
      <c r="I13" s="59">
        <v>197240</v>
      </c>
    </row>
    <row r="14" spans="1:9">
      <c r="A14" s="233">
        <v>2016</v>
      </c>
      <c r="B14" s="87">
        <v>32498</v>
      </c>
      <c r="C14" s="304">
        <v>0.13600000000000001</v>
      </c>
      <c r="D14" s="304">
        <v>0.79</v>
      </c>
      <c r="E14" s="176">
        <v>7.3999999999999996E-2</v>
      </c>
      <c r="F14" s="59">
        <v>60603</v>
      </c>
      <c r="G14" s="59">
        <v>4548</v>
      </c>
      <c r="H14" s="59">
        <v>56655</v>
      </c>
      <c r="I14" s="59">
        <v>206484</v>
      </c>
    </row>
    <row r="15" spans="1:9">
      <c r="A15" s="233">
        <v>2017</v>
      </c>
      <c r="B15" s="87">
        <v>32835</v>
      </c>
      <c r="C15" s="304">
        <v>0.1341</v>
      </c>
      <c r="D15" s="304">
        <v>0.78959999999999997</v>
      </c>
      <c r="E15" s="176">
        <v>7.6300000000000007E-2</v>
      </c>
      <c r="F15" s="59">
        <v>60959</v>
      </c>
      <c r="G15" s="59">
        <v>4594</v>
      </c>
      <c r="H15" s="59">
        <v>56709.9804</v>
      </c>
      <c r="I15" s="59">
        <v>204062.23</v>
      </c>
    </row>
    <row r="16" spans="1:9" s="17" customFormat="1">
      <c r="A16" s="233">
        <v>2018</v>
      </c>
      <c r="B16" s="87">
        <v>32992</v>
      </c>
      <c r="C16" s="304">
        <v>0.129</v>
      </c>
      <c r="D16" s="304">
        <v>0.79310000000000003</v>
      </c>
      <c r="E16" s="176">
        <v>7.7899999999999997E-2</v>
      </c>
      <c r="F16" s="59">
        <v>61722.37</v>
      </c>
      <c r="G16" s="59">
        <v>4556.8100000000004</v>
      </c>
      <c r="H16" s="59">
        <v>57209.61</v>
      </c>
      <c r="I16" s="59">
        <v>202336.23</v>
      </c>
    </row>
    <row r="17" spans="1:9" ht="13.5" thickBot="1">
      <c r="A17" s="281">
        <v>2019</v>
      </c>
      <c r="B17" s="174">
        <v>33301</v>
      </c>
      <c r="C17" s="269">
        <v>0.12640000000000001</v>
      </c>
      <c r="D17" s="269">
        <v>0.79290000000000005</v>
      </c>
      <c r="E17" s="241">
        <v>8.0699999999999994E-2</v>
      </c>
      <c r="F17" s="136">
        <v>63010.38</v>
      </c>
      <c r="G17" s="136">
        <v>4638.1400000000003</v>
      </c>
      <c r="H17" s="136">
        <v>57511.78</v>
      </c>
      <c r="I17" s="136">
        <v>208348.91</v>
      </c>
    </row>
    <row r="19" spans="1:9">
      <c r="A19" s="9" t="s">
        <v>184</v>
      </c>
    </row>
    <row r="20" spans="1:9">
      <c r="A20" s="10" t="s">
        <v>197</v>
      </c>
      <c r="B20" s="10"/>
      <c r="C20" s="10"/>
      <c r="D20" s="10"/>
      <c r="E20" s="10"/>
      <c r="F20" s="10"/>
      <c r="G20" s="10"/>
    </row>
  </sheetData>
  <mergeCells count="3">
    <mergeCell ref="A1:I1"/>
    <mergeCell ref="C4:E4"/>
    <mergeCell ref="F4:I4"/>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41"/>
  <sheetViews>
    <sheetView zoomScaleNormal="100" workbookViewId="0">
      <selection activeCell="A8" sqref="A8"/>
    </sheetView>
  </sheetViews>
  <sheetFormatPr baseColWidth="10" defaultRowHeight="12.75"/>
  <cols>
    <col min="1" max="1" width="37.7109375" style="20" customWidth="1"/>
    <col min="2" max="4" width="15.7109375" style="20" customWidth="1"/>
    <col min="5" max="16384" width="11.42578125" style="20"/>
  </cols>
  <sheetData>
    <row r="1" spans="1:9" ht="15">
      <c r="A1" s="366" t="s">
        <v>318</v>
      </c>
      <c r="B1" s="366"/>
      <c r="C1" s="366"/>
      <c r="D1" s="366"/>
    </row>
    <row r="2" spans="1:9">
      <c r="A2" s="35" t="s">
        <v>316</v>
      </c>
      <c r="D2" s="36" t="s">
        <v>223</v>
      </c>
    </row>
    <row r="3" spans="1:9" ht="13.5" thickBot="1"/>
    <row r="4" spans="1:9">
      <c r="A4" s="142"/>
      <c r="B4" s="143" t="s">
        <v>730</v>
      </c>
      <c r="C4" s="143" t="s">
        <v>748</v>
      </c>
      <c r="D4" s="144" t="s">
        <v>196</v>
      </c>
      <c r="G4" s="36"/>
    </row>
    <row r="5" spans="1:9">
      <c r="A5" s="167"/>
      <c r="B5" s="167"/>
      <c r="C5" s="167"/>
      <c r="D5" s="168"/>
    </row>
    <row r="6" spans="1:9">
      <c r="A6" s="121" t="s">
        <v>129</v>
      </c>
      <c r="B6" s="125">
        <v>518142298</v>
      </c>
      <c r="C6" s="125">
        <v>215191357</v>
      </c>
      <c r="D6" s="159">
        <f>C6/B6-1</f>
        <v>-0.58468675915742363</v>
      </c>
      <c r="G6" s="33"/>
      <c r="I6" s="54"/>
    </row>
    <row r="7" spans="1:9">
      <c r="A7" s="145"/>
      <c r="B7" s="125"/>
      <c r="C7" s="125"/>
      <c r="D7" s="160"/>
      <c r="G7" s="33"/>
    </row>
    <row r="8" spans="1:9">
      <c r="A8" s="121" t="s">
        <v>187</v>
      </c>
      <c r="B8" s="125">
        <v>13254</v>
      </c>
      <c r="C8" s="125">
        <v>12803</v>
      </c>
      <c r="D8" s="159">
        <f>C8/B8-1</f>
        <v>-3.4027463407273251E-2</v>
      </c>
      <c r="G8" s="33"/>
    </row>
    <row r="9" spans="1:9">
      <c r="A9" s="121"/>
      <c r="B9" s="125"/>
      <c r="C9" s="125"/>
      <c r="D9" s="161"/>
      <c r="G9" s="33"/>
    </row>
    <row r="10" spans="1:9" ht="13.5" thickBot="1">
      <c r="A10" s="162" t="s">
        <v>195</v>
      </c>
      <c r="B10" s="163">
        <f>B6/B8</f>
        <v>39093.27735023389</v>
      </c>
      <c r="C10" s="163">
        <f>C6/C8</f>
        <v>16807.885417480276</v>
      </c>
      <c r="D10" s="114">
        <f>C10/B10-1</f>
        <v>-0.57005688556373446</v>
      </c>
      <c r="G10" s="33"/>
    </row>
    <row r="11" spans="1:9">
      <c r="A11" s="121"/>
      <c r="B11" s="127"/>
      <c r="C11" s="127"/>
      <c r="D11" s="161"/>
    </row>
    <row r="12" spans="1:9">
      <c r="A12" s="121"/>
      <c r="B12" s="127"/>
      <c r="C12" s="127"/>
      <c r="D12" s="161"/>
    </row>
    <row r="13" spans="1:9">
      <c r="A13" s="145"/>
      <c r="B13" s="127"/>
      <c r="C13" s="127"/>
      <c r="D13" s="145"/>
    </row>
    <row r="14" spans="1:9">
      <c r="A14" s="121"/>
      <c r="B14" s="169"/>
      <c r="C14" s="127"/>
      <c r="D14" s="161"/>
    </row>
    <row r="15" spans="1:9" ht="15">
      <c r="A15" s="374" t="s">
        <v>326</v>
      </c>
      <c r="B15" s="374"/>
      <c r="C15" s="374"/>
      <c r="D15" s="374"/>
    </row>
    <row r="16" spans="1:9">
      <c r="A16" s="121" t="s">
        <v>316</v>
      </c>
      <c r="B16" s="127"/>
      <c r="C16" s="127"/>
      <c r="D16" s="170" t="s">
        <v>224</v>
      </c>
    </row>
    <row r="17" spans="1:14" ht="13.5" thickBot="1">
      <c r="A17" s="145"/>
      <c r="B17" s="127"/>
      <c r="C17" s="127"/>
      <c r="D17" s="145"/>
    </row>
    <row r="18" spans="1:14">
      <c r="A18" s="156"/>
      <c r="B18" s="157" t="s">
        <v>730</v>
      </c>
      <c r="C18" s="157" t="s">
        <v>748</v>
      </c>
      <c r="D18" s="155" t="s">
        <v>196</v>
      </c>
      <c r="K18" s="37"/>
    </row>
    <row r="19" spans="1:14">
      <c r="A19" s="145"/>
      <c r="B19" s="127"/>
      <c r="C19" s="127"/>
      <c r="D19" s="146" t="s">
        <v>76</v>
      </c>
      <c r="K19" s="27"/>
    </row>
    <row r="20" spans="1:14">
      <c r="A20" s="121" t="s">
        <v>129</v>
      </c>
      <c r="B20" s="125">
        <f>SUM(B22:B32)</f>
        <v>518142298.42999995</v>
      </c>
      <c r="C20" s="125">
        <f>SUM(C22:C32)</f>
        <v>215191357.40000001</v>
      </c>
      <c r="D20" s="159">
        <f>C20/B20-1</f>
        <v>-0.58468675873009823</v>
      </c>
      <c r="K20" s="33"/>
      <c r="M20" s="33"/>
    </row>
    <row r="21" spans="1:14">
      <c r="A21" s="145"/>
      <c r="B21" s="125"/>
      <c r="C21" s="125"/>
      <c r="D21" s="146"/>
      <c r="K21" s="33"/>
    </row>
    <row r="22" spans="1:14">
      <c r="A22" s="145" t="s">
        <v>198</v>
      </c>
      <c r="B22" s="125">
        <v>11546408.880000001</v>
      </c>
      <c r="C22" s="125">
        <v>8469823.3000000007</v>
      </c>
      <c r="D22" s="164">
        <f>C22/B22-1</f>
        <v>-0.26645389159300237</v>
      </c>
      <c r="F22" s="54"/>
      <c r="H22" s="33"/>
      <c r="I22" s="54"/>
      <c r="J22" s="47"/>
      <c r="K22" s="33"/>
      <c r="L22" s="54"/>
      <c r="M22" s="33"/>
      <c r="N22" s="54"/>
    </row>
    <row r="23" spans="1:14">
      <c r="A23" s="145" t="s">
        <v>199</v>
      </c>
      <c r="B23" s="125">
        <v>23237336.899999999</v>
      </c>
      <c r="C23" s="125">
        <v>14571834.18</v>
      </c>
      <c r="D23" s="164">
        <f t="shared" ref="D23:D32" si="0">C23/B23-1</f>
        <v>-0.37291290121976062</v>
      </c>
      <c r="F23" s="54"/>
      <c r="H23" s="33"/>
      <c r="I23" s="54"/>
      <c r="J23" s="47"/>
      <c r="K23" s="33"/>
      <c r="L23" s="54"/>
      <c r="M23" s="33"/>
      <c r="N23" s="54"/>
    </row>
    <row r="24" spans="1:14">
      <c r="A24" s="145" t="s">
        <v>200</v>
      </c>
      <c r="B24" s="125">
        <v>1455362.35</v>
      </c>
      <c r="C24" s="125">
        <v>1702048</v>
      </c>
      <c r="D24" s="164">
        <f t="shared" si="0"/>
        <v>0.16950118985831941</v>
      </c>
      <c r="F24" s="54"/>
      <c r="H24" s="33"/>
      <c r="I24" s="54"/>
      <c r="J24" s="47"/>
      <c r="K24" s="33"/>
      <c r="L24" s="54"/>
      <c r="M24" s="33"/>
      <c r="N24" s="54"/>
    </row>
    <row r="25" spans="1:14">
      <c r="A25" s="145" t="s">
        <v>201</v>
      </c>
      <c r="B25" s="125">
        <v>397967327.31</v>
      </c>
      <c r="C25" s="125">
        <v>87579545.480000004</v>
      </c>
      <c r="D25" s="164">
        <f t="shared" si="0"/>
        <v>-0.77993282495831828</v>
      </c>
      <c r="F25" s="54"/>
      <c r="H25" s="33"/>
      <c r="I25" s="54"/>
      <c r="J25" s="47"/>
      <c r="K25" s="33"/>
      <c r="L25" s="54"/>
      <c r="M25" s="33"/>
      <c r="N25" s="54"/>
    </row>
    <row r="26" spans="1:14">
      <c r="A26" s="145" t="s">
        <v>202</v>
      </c>
      <c r="B26" s="125">
        <v>55027557.710000001</v>
      </c>
      <c r="C26" s="125">
        <v>72957851.5</v>
      </c>
      <c r="D26" s="164">
        <f t="shared" si="0"/>
        <v>0.32584207869980708</v>
      </c>
      <c r="F26" s="54"/>
      <c r="H26" s="33"/>
      <c r="I26" s="54"/>
      <c r="J26" s="47"/>
      <c r="K26" s="33"/>
      <c r="L26" s="54"/>
      <c r="M26" s="33"/>
      <c r="N26" s="54"/>
    </row>
    <row r="27" spans="1:14">
      <c r="A27" s="145" t="s">
        <v>203</v>
      </c>
      <c r="B27" s="125">
        <v>162010.82</v>
      </c>
      <c r="C27" s="125">
        <v>173365</v>
      </c>
      <c r="D27" s="164">
        <f t="shared" si="0"/>
        <v>7.0082850021992327E-2</v>
      </c>
      <c r="F27" s="54"/>
      <c r="H27" s="33"/>
      <c r="I27" s="54"/>
      <c r="J27" s="47"/>
      <c r="K27" s="33"/>
      <c r="L27" s="54"/>
      <c r="M27" s="33"/>
      <c r="N27" s="54"/>
    </row>
    <row r="28" spans="1:14">
      <c r="A28" s="145" t="s">
        <v>204</v>
      </c>
      <c r="B28" s="125">
        <v>5066785.01</v>
      </c>
      <c r="C28" s="125">
        <v>4693275.5599999996</v>
      </c>
      <c r="D28" s="164">
        <f t="shared" si="0"/>
        <v>-7.3717248563502813E-2</v>
      </c>
      <c r="F28" s="54"/>
      <c r="H28" s="33"/>
      <c r="I28" s="54"/>
      <c r="J28" s="47"/>
      <c r="K28" s="33"/>
      <c r="L28" s="54"/>
      <c r="M28" s="33"/>
      <c r="N28" s="54"/>
    </row>
    <row r="29" spans="1:14">
      <c r="A29" s="145" t="s">
        <v>205</v>
      </c>
      <c r="B29" s="125">
        <v>6587740.9000000004</v>
      </c>
      <c r="C29" s="125">
        <v>6800300.7400000002</v>
      </c>
      <c r="D29" s="164">
        <f t="shared" si="0"/>
        <v>3.2265968444508797E-2</v>
      </c>
      <c r="F29" s="54"/>
      <c r="H29" s="33"/>
      <c r="I29" s="54"/>
      <c r="J29" s="47"/>
      <c r="K29" s="33"/>
      <c r="L29" s="54"/>
      <c r="M29" s="33"/>
      <c r="N29" s="54"/>
    </row>
    <row r="30" spans="1:14">
      <c r="A30" s="145" t="s">
        <v>206</v>
      </c>
      <c r="B30" s="125">
        <v>6321393.2000000002</v>
      </c>
      <c r="C30" s="125">
        <v>5956576</v>
      </c>
      <c r="D30" s="164">
        <f t="shared" si="0"/>
        <v>-5.7711518403886108E-2</v>
      </c>
      <c r="F30" s="54"/>
      <c r="H30" s="33"/>
      <c r="I30" s="54"/>
      <c r="J30" s="47"/>
      <c r="K30" s="33"/>
      <c r="L30" s="54"/>
      <c r="M30" s="33"/>
      <c r="N30" s="54"/>
    </row>
    <row r="31" spans="1:14">
      <c r="A31" s="145" t="s">
        <v>207</v>
      </c>
      <c r="B31" s="125">
        <v>232705</v>
      </c>
      <c r="C31" s="125">
        <v>245518.64</v>
      </c>
      <c r="D31" s="164">
        <f t="shared" si="0"/>
        <v>5.5063879160310414E-2</v>
      </c>
      <c r="F31" s="54"/>
      <c r="H31" s="33"/>
      <c r="I31" s="54"/>
      <c r="J31" s="47"/>
      <c r="K31" s="33"/>
      <c r="L31" s="54"/>
      <c r="M31" s="33"/>
      <c r="N31" s="54"/>
    </row>
    <row r="32" spans="1:14" ht="13.5" thickBot="1">
      <c r="A32" s="165" t="s">
        <v>208</v>
      </c>
      <c r="B32" s="163">
        <v>10537670.35</v>
      </c>
      <c r="C32" s="163">
        <v>12041219</v>
      </c>
      <c r="D32" s="166">
        <f t="shared" si="0"/>
        <v>0.142683211759419</v>
      </c>
      <c r="F32" s="54"/>
      <c r="H32" s="33"/>
      <c r="I32" s="54"/>
      <c r="J32" s="47"/>
      <c r="K32" s="33"/>
      <c r="L32" s="54"/>
      <c r="M32" s="33"/>
      <c r="N32" s="54"/>
    </row>
    <row r="33" spans="1:8">
      <c r="B33" s="55"/>
      <c r="C33" s="55"/>
      <c r="D33" s="55"/>
      <c r="H33" s="33"/>
    </row>
    <row r="34" spans="1:8">
      <c r="A34" s="368" t="s">
        <v>482</v>
      </c>
      <c r="B34" s="368"/>
      <c r="C34" s="368"/>
      <c r="D34" s="368"/>
      <c r="H34" s="33"/>
    </row>
    <row r="35" spans="1:8" ht="37.5" customHeight="1">
      <c r="A35" s="372" t="s">
        <v>734</v>
      </c>
      <c r="B35" s="373"/>
      <c r="C35" s="373"/>
      <c r="D35" s="373"/>
      <c r="E35" s="53"/>
      <c r="H35" s="33"/>
    </row>
    <row r="36" spans="1:8" ht="37.5" customHeight="1">
      <c r="A36" s="372" t="s">
        <v>771</v>
      </c>
      <c r="B36" s="373"/>
      <c r="C36" s="373"/>
      <c r="D36" s="373"/>
      <c r="E36" s="53"/>
      <c r="H36" s="33"/>
    </row>
    <row r="37" spans="1:8" ht="40.5" customHeight="1">
      <c r="A37" s="375" t="s">
        <v>599</v>
      </c>
      <c r="B37" s="376"/>
      <c r="C37" s="376"/>
      <c r="D37" s="376"/>
      <c r="E37" s="53"/>
    </row>
    <row r="38" spans="1:8" ht="37.5" customHeight="1">
      <c r="A38" s="372" t="s">
        <v>591</v>
      </c>
      <c r="B38" s="373"/>
      <c r="C38" s="373"/>
      <c r="D38" s="373"/>
      <c r="E38" s="56"/>
    </row>
    <row r="40" spans="1:8" ht="12.75" customHeight="1">
      <c r="A40" s="38" t="s">
        <v>184</v>
      </c>
    </row>
    <row r="41" spans="1:8">
      <c r="A41" s="20" t="s">
        <v>197</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mergeCells count="7">
    <mergeCell ref="A38:D38"/>
    <mergeCell ref="A1:D1"/>
    <mergeCell ref="A15:D15"/>
    <mergeCell ref="A34:D34"/>
    <mergeCell ref="A37:D37"/>
    <mergeCell ref="A35:D35"/>
    <mergeCell ref="A36:D36"/>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8"/>
  <sheetViews>
    <sheetView zoomScaleNormal="100" workbookViewId="0">
      <selection activeCell="A22" sqref="A22"/>
    </sheetView>
  </sheetViews>
  <sheetFormatPr baseColWidth="10" defaultRowHeight="12.75"/>
  <cols>
    <col min="1" max="1" width="16.85546875" customWidth="1"/>
    <col min="2" max="6" width="14.28515625" customWidth="1"/>
  </cols>
  <sheetData>
    <row r="1" spans="1:8" ht="15">
      <c r="A1" s="360" t="s">
        <v>543</v>
      </c>
      <c r="B1" s="360"/>
      <c r="C1" s="360"/>
      <c r="D1" s="360"/>
      <c r="E1" s="360"/>
      <c r="F1" s="360"/>
    </row>
    <row r="2" spans="1:8">
      <c r="F2" s="2" t="s">
        <v>544</v>
      </c>
    </row>
    <row r="3" spans="1:8" ht="13.5" thickBot="1">
      <c r="A3" s="20"/>
    </row>
    <row r="4" spans="1:8" ht="25.5">
      <c r="A4" s="108"/>
      <c r="B4" s="317" t="s">
        <v>104</v>
      </c>
      <c r="C4" s="317" t="s">
        <v>364</v>
      </c>
      <c r="D4" s="317" t="s">
        <v>365</v>
      </c>
      <c r="E4" s="317" t="s">
        <v>366</v>
      </c>
      <c r="F4" s="317" t="s">
        <v>473</v>
      </c>
    </row>
    <row r="5" spans="1:8">
      <c r="A5" s="302" t="s">
        <v>474</v>
      </c>
      <c r="B5" s="303" t="s">
        <v>389</v>
      </c>
      <c r="C5" s="303" t="s">
        <v>389</v>
      </c>
      <c r="D5" s="303"/>
      <c r="E5" s="303"/>
      <c r="F5" s="303" t="s">
        <v>403</v>
      </c>
    </row>
    <row r="6" spans="1:8">
      <c r="A6" s="17"/>
      <c r="B6" s="17"/>
      <c r="C6" s="17"/>
      <c r="D6" s="17"/>
      <c r="E6" s="17"/>
      <c r="F6" s="17"/>
    </row>
    <row r="7" spans="1:8">
      <c r="A7" s="233">
        <v>2011</v>
      </c>
      <c r="B7" s="87">
        <v>117794</v>
      </c>
      <c r="C7" s="87">
        <v>96388</v>
      </c>
      <c r="D7" s="236">
        <f>209808/C7</f>
        <v>2.1767024940864008</v>
      </c>
      <c r="E7" s="236">
        <v>0.39036631000000033</v>
      </c>
      <c r="F7" s="97">
        <v>1644.9886200000001</v>
      </c>
    </row>
    <row r="8" spans="1:8">
      <c r="A8" s="233">
        <v>2012</v>
      </c>
      <c r="B8" s="87">
        <v>115987</v>
      </c>
      <c r="C8" s="87">
        <v>95390</v>
      </c>
      <c r="D8" s="236">
        <v>2.1886999999999999</v>
      </c>
      <c r="E8" s="236">
        <v>0.38817961000000034</v>
      </c>
      <c r="F8" s="97">
        <v>1845.472223</v>
      </c>
      <c r="H8" s="50"/>
    </row>
    <row r="9" spans="1:8">
      <c r="A9" s="233">
        <v>2013</v>
      </c>
      <c r="B9" s="87">
        <v>118255</v>
      </c>
      <c r="C9" s="87">
        <v>94945</v>
      </c>
      <c r="D9" s="236">
        <v>2.2086299999999999</v>
      </c>
      <c r="E9" s="236">
        <v>0.40081682999999968</v>
      </c>
      <c r="F9" s="97">
        <v>1912.3000790000001</v>
      </c>
      <c r="H9" s="50"/>
    </row>
    <row r="10" spans="1:8">
      <c r="A10" s="233">
        <v>2014</v>
      </c>
      <c r="B10" s="293">
        <v>116427</v>
      </c>
      <c r="C10" s="293">
        <v>94372</v>
      </c>
      <c r="D10" s="309">
        <v>2.24316</v>
      </c>
      <c r="E10" s="309">
        <v>0.39341296999999997</v>
      </c>
      <c r="F10" s="314">
        <v>1910.9182719999999</v>
      </c>
      <c r="H10" s="50"/>
    </row>
    <row r="11" spans="1:8">
      <c r="A11" s="233">
        <v>2015</v>
      </c>
      <c r="B11" s="293">
        <v>116306</v>
      </c>
      <c r="C11" s="293">
        <v>94608</v>
      </c>
      <c r="D11" s="309">
        <v>2.2317245898866904</v>
      </c>
      <c r="E11" s="310">
        <v>0.39400000000000002</v>
      </c>
      <c r="F11" s="314">
        <v>1926.1383780000001</v>
      </c>
      <c r="H11" s="50"/>
    </row>
    <row r="12" spans="1:8">
      <c r="A12" s="233">
        <v>2016</v>
      </c>
      <c r="B12" s="293">
        <v>117693</v>
      </c>
      <c r="C12" s="293">
        <v>94277</v>
      </c>
      <c r="D12" s="309">
        <v>2.262</v>
      </c>
      <c r="E12" s="310">
        <v>0.4036358652</v>
      </c>
      <c r="F12" s="314">
        <v>1969.4801500000001</v>
      </c>
      <c r="H12" s="50"/>
    </row>
    <row r="13" spans="1:8">
      <c r="A13" s="233">
        <v>2017</v>
      </c>
      <c r="B13" s="293">
        <v>117872</v>
      </c>
      <c r="C13" s="293">
        <v>93770</v>
      </c>
      <c r="D13" s="309">
        <v>2.2850000000000001</v>
      </c>
      <c r="E13" s="310">
        <v>0.40400000000000003</v>
      </c>
      <c r="F13" s="314">
        <v>2001.6</v>
      </c>
      <c r="H13" s="50"/>
    </row>
    <row r="14" spans="1:8">
      <c r="A14" s="233">
        <v>2018</v>
      </c>
      <c r="B14" s="293">
        <v>118316</v>
      </c>
      <c r="C14" s="293">
        <v>94693</v>
      </c>
      <c r="D14" s="309">
        <v>2.26741153</v>
      </c>
      <c r="E14" s="310">
        <v>0.40322169899999999</v>
      </c>
      <c r="F14" s="314">
        <v>2036.3445509999999</v>
      </c>
      <c r="H14" s="50"/>
    </row>
    <row r="15" spans="1:8" ht="13.5" thickBot="1">
      <c r="A15" s="281">
        <v>2019</v>
      </c>
      <c r="B15" s="298">
        <v>120537.03</v>
      </c>
      <c r="C15" s="298">
        <v>95880</v>
      </c>
      <c r="D15" s="318">
        <v>2.2869733000000001</v>
      </c>
      <c r="E15" s="312">
        <v>0.40835005699999999</v>
      </c>
      <c r="F15" s="316">
        <v>2098.3085959999999</v>
      </c>
      <c r="H15" s="50"/>
    </row>
    <row r="17" spans="1:7">
      <c r="A17" s="9" t="s">
        <v>184</v>
      </c>
    </row>
    <row r="18" spans="1:7">
      <c r="A18" s="10" t="s">
        <v>197</v>
      </c>
      <c r="B18" s="10"/>
      <c r="C18" s="10"/>
      <c r="D18" s="10"/>
      <c r="E18" s="10"/>
      <c r="F18" s="10"/>
      <c r="G18" s="10"/>
    </row>
    <row r="22" spans="1:7">
      <c r="B22" s="70"/>
    </row>
    <row r="23" spans="1:7">
      <c r="B23" s="70"/>
    </row>
    <row r="24" spans="1:7">
      <c r="B24" s="73"/>
    </row>
    <row r="25" spans="1:7">
      <c r="B25" s="73"/>
    </row>
    <row r="28" spans="1:7">
      <c r="B28" s="70"/>
      <c r="C28" s="70"/>
      <c r="D28" s="73"/>
      <c r="E28" s="73"/>
    </row>
  </sheetData>
  <mergeCells count="1">
    <mergeCell ref="A1:F1"/>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17"/>
  <sheetViews>
    <sheetView zoomScaleNormal="100" workbookViewId="0">
      <selection activeCell="B13" sqref="B13"/>
    </sheetView>
  </sheetViews>
  <sheetFormatPr baseColWidth="10" defaultRowHeight="12.75"/>
  <cols>
    <col min="1" max="1" width="17.5703125" customWidth="1"/>
    <col min="2" max="2" width="9.7109375" customWidth="1"/>
    <col min="3" max="9" width="8.5703125" customWidth="1"/>
  </cols>
  <sheetData>
    <row r="1" spans="1:10" ht="30" customHeight="1">
      <c r="A1" s="404" t="s">
        <v>545</v>
      </c>
      <c r="B1" s="405"/>
      <c r="C1" s="405"/>
      <c r="D1" s="405"/>
      <c r="E1" s="405"/>
      <c r="F1" s="405"/>
      <c r="G1" s="405"/>
      <c r="H1" s="405"/>
      <c r="I1" s="405"/>
    </row>
    <row r="2" spans="1:10">
      <c r="I2" s="2" t="s">
        <v>546</v>
      </c>
    </row>
    <row r="3" spans="1:10" ht="13.5" thickBot="1">
      <c r="A3" s="20"/>
    </row>
    <row r="4" spans="1:10" ht="38.25">
      <c r="A4" s="108"/>
      <c r="B4" s="317" t="s">
        <v>542</v>
      </c>
      <c r="C4" s="402" t="s">
        <v>433</v>
      </c>
      <c r="D4" s="406"/>
      <c r="E4" s="406"/>
      <c r="F4" s="402" t="s">
        <v>410</v>
      </c>
      <c r="G4" s="403"/>
      <c r="H4" s="403"/>
      <c r="I4" s="403"/>
    </row>
    <row r="5" spans="1:10" ht="38.25">
      <c r="A5" s="302" t="s">
        <v>474</v>
      </c>
      <c r="B5" s="305"/>
      <c r="C5" s="306" t="s">
        <v>422</v>
      </c>
      <c r="D5" s="307" t="s">
        <v>468</v>
      </c>
      <c r="E5" s="307" t="s">
        <v>469</v>
      </c>
      <c r="F5" s="307" t="s">
        <v>100</v>
      </c>
      <c r="G5" s="306" t="s">
        <v>422</v>
      </c>
      <c r="H5" s="307" t="s">
        <v>468</v>
      </c>
      <c r="I5" s="307" t="s">
        <v>469</v>
      </c>
    </row>
    <row r="6" spans="1:10">
      <c r="A6" s="233">
        <v>2011</v>
      </c>
      <c r="B6" s="87">
        <v>13965</v>
      </c>
      <c r="C6" s="304">
        <v>2.8500000000000001E-2</v>
      </c>
      <c r="D6" s="304">
        <v>0.60450000000000004</v>
      </c>
      <c r="E6" s="176">
        <v>0.36699999999999999</v>
      </c>
      <c r="F6" s="87">
        <v>117794</v>
      </c>
      <c r="G6" s="59">
        <v>4442</v>
      </c>
      <c r="H6" s="59">
        <v>69912</v>
      </c>
      <c r="I6" s="59">
        <v>205469</v>
      </c>
      <c r="J6" s="15"/>
    </row>
    <row r="7" spans="1:10">
      <c r="A7" s="233">
        <v>2012</v>
      </c>
      <c r="B7" s="87">
        <v>15911</v>
      </c>
      <c r="C7" s="304">
        <v>0.03</v>
      </c>
      <c r="D7" s="304">
        <v>0.60880000000000001</v>
      </c>
      <c r="E7" s="176">
        <v>0.36120000000000002</v>
      </c>
      <c r="F7" s="87">
        <v>115987</v>
      </c>
      <c r="G7" s="59">
        <v>4964</v>
      </c>
      <c r="H7" s="59">
        <v>69812</v>
      </c>
      <c r="I7" s="59">
        <v>203046</v>
      </c>
      <c r="J7" s="15"/>
    </row>
    <row r="8" spans="1:10">
      <c r="A8" s="233">
        <v>2013</v>
      </c>
      <c r="B8" s="87">
        <v>16171</v>
      </c>
      <c r="C8" s="304">
        <v>3.2099999999999997E-2</v>
      </c>
      <c r="D8" s="304">
        <v>0.60819999999999996</v>
      </c>
      <c r="E8" s="176">
        <v>0.35970000000000002</v>
      </c>
      <c r="F8" s="87">
        <v>118255</v>
      </c>
      <c r="G8" s="59">
        <v>4364</v>
      </c>
      <c r="H8" s="59">
        <v>69798</v>
      </c>
      <c r="I8" s="59">
        <v>210368</v>
      </c>
      <c r="J8" s="15"/>
    </row>
    <row r="9" spans="1:10">
      <c r="A9" s="233">
        <v>2014</v>
      </c>
      <c r="B9" s="87">
        <v>16413</v>
      </c>
      <c r="C9" s="304">
        <v>3.1099999999999999E-2</v>
      </c>
      <c r="D9" s="304">
        <v>0.60960000000000003</v>
      </c>
      <c r="E9" s="176">
        <v>0.35930000000000001</v>
      </c>
      <c r="F9" s="87">
        <v>116427</v>
      </c>
      <c r="G9" s="59">
        <v>4414</v>
      </c>
      <c r="H9" s="59">
        <v>69546</v>
      </c>
      <c r="I9" s="59">
        <v>205638</v>
      </c>
      <c r="J9" s="15"/>
    </row>
    <row r="10" spans="1:10">
      <c r="A10" s="233">
        <v>2015</v>
      </c>
      <c r="B10" s="87">
        <v>16561</v>
      </c>
      <c r="C10" s="304">
        <v>3.2799999999999996E-2</v>
      </c>
      <c r="D10" s="304">
        <v>0.6089</v>
      </c>
      <c r="E10" s="176">
        <v>0.35830000000000001</v>
      </c>
      <c r="F10" s="87">
        <v>116306</v>
      </c>
      <c r="G10" s="59">
        <v>4636</v>
      </c>
      <c r="H10" s="59">
        <v>69525</v>
      </c>
      <c r="I10" s="59">
        <v>206021</v>
      </c>
      <c r="J10" s="15"/>
    </row>
    <row r="11" spans="1:10">
      <c r="A11" s="233">
        <v>2016</v>
      </c>
      <c r="B11" s="87">
        <v>16734</v>
      </c>
      <c r="C11" s="304">
        <v>3.5200000000000002E-2</v>
      </c>
      <c r="D11" s="304">
        <v>0.60419999999999996</v>
      </c>
      <c r="E11" s="176">
        <v>0.36059999999999998</v>
      </c>
      <c r="F11" s="87">
        <v>117693</v>
      </c>
      <c r="G11" s="59">
        <v>4465</v>
      </c>
      <c r="H11" s="59">
        <v>69199</v>
      </c>
      <c r="I11" s="59">
        <v>210006</v>
      </c>
      <c r="J11" s="15"/>
    </row>
    <row r="12" spans="1:10">
      <c r="A12" s="233">
        <v>2017</v>
      </c>
      <c r="B12" s="87">
        <v>16981</v>
      </c>
      <c r="C12" s="304">
        <v>3.5200000000000002E-2</v>
      </c>
      <c r="D12" s="304">
        <v>0.60509999999999997</v>
      </c>
      <c r="E12" s="176">
        <v>0.35980000000000001</v>
      </c>
      <c r="F12" s="87">
        <v>117872</v>
      </c>
      <c r="G12" s="59">
        <v>4572</v>
      </c>
      <c r="H12" s="59">
        <v>69107</v>
      </c>
      <c r="I12" s="59">
        <v>210962</v>
      </c>
      <c r="J12" s="15"/>
    </row>
    <row r="13" spans="1:10">
      <c r="A13" s="233">
        <v>2018</v>
      </c>
      <c r="B13" s="87">
        <v>17211</v>
      </c>
      <c r="C13" s="304">
        <v>3.5499999999999997E-2</v>
      </c>
      <c r="D13" s="304">
        <v>0.5988</v>
      </c>
      <c r="E13" s="176">
        <v>0.36570000000000003</v>
      </c>
      <c r="F13" s="87">
        <v>118316.46</v>
      </c>
      <c r="G13" s="59">
        <v>4392.67</v>
      </c>
      <c r="H13" s="59">
        <v>69064.73</v>
      </c>
      <c r="I13" s="59">
        <v>210022.17</v>
      </c>
      <c r="J13" s="15"/>
    </row>
    <row r="14" spans="1:10" ht="13.5" thickBot="1">
      <c r="A14" s="281">
        <v>2019</v>
      </c>
      <c r="B14" s="174">
        <v>17408</v>
      </c>
      <c r="C14" s="269">
        <v>3.4700000000000002E-2</v>
      </c>
      <c r="D14" s="269">
        <v>0.59319999999999995</v>
      </c>
      <c r="E14" s="241">
        <v>0.37209999999999999</v>
      </c>
      <c r="F14" s="174">
        <v>120537.03</v>
      </c>
      <c r="G14" s="136">
        <v>4539.7700000000004</v>
      </c>
      <c r="H14" s="136">
        <v>69110.42</v>
      </c>
      <c r="I14" s="136">
        <v>213327</v>
      </c>
      <c r="J14" s="15"/>
    </row>
    <row r="16" spans="1:10">
      <c r="A16" s="9" t="s">
        <v>184</v>
      </c>
    </row>
    <row r="17" spans="1:7">
      <c r="A17" s="10" t="s">
        <v>197</v>
      </c>
      <c r="B17" s="10"/>
      <c r="C17" s="10"/>
      <c r="D17" s="10"/>
      <c r="E17" s="10"/>
      <c r="F17" s="10"/>
      <c r="G17" s="10"/>
    </row>
  </sheetData>
  <mergeCells count="3">
    <mergeCell ref="A1:I1"/>
    <mergeCell ref="C4:E4"/>
    <mergeCell ref="F4:I4"/>
  </mergeCells>
  <pageMargins left="0.70866141732283472" right="0.70866141732283472" top="0.78740157480314965" bottom="0.78740157480314965" header="0.31496062992125984" footer="0.31496062992125984"/>
  <pageSetup paperSize="9" orientation="portrait" r:id="rId1"/>
  <headerFooter>
    <oddHeader>&amp;R&amp;D</oddHeader>
    <oddFooter>&amp;L&amp;Z&amp;F  &amp;A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1"/>
  <sheetViews>
    <sheetView zoomScaleNormal="100" workbookViewId="0">
      <selection activeCell="G28" sqref="G28"/>
    </sheetView>
  </sheetViews>
  <sheetFormatPr baseColWidth="10" defaultRowHeight="12.75"/>
  <sheetData>
    <row r="1" spans="1:2">
      <c r="A1" s="1" t="s">
        <v>328</v>
      </c>
    </row>
    <row r="3" spans="1:2">
      <c r="A3" s="34"/>
      <c r="B3" s="5" t="s">
        <v>329</v>
      </c>
    </row>
    <row r="4" spans="1:2">
      <c r="A4" s="41"/>
      <c r="B4" t="s">
        <v>351</v>
      </c>
    </row>
    <row r="5" spans="1:2">
      <c r="A5" s="43"/>
      <c r="B5" s="5" t="s">
        <v>515</v>
      </c>
    </row>
    <row r="8" spans="1:2">
      <c r="A8" s="5" t="s">
        <v>510</v>
      </c>
    </row>
    <row r="10" spans="1:2">
      <c r="A10" s="51"/>
      <c r="B10" s="5" t="s">
        <v>511</v>
      </c>
    </row>
    <row r="11" spans="1:2">
      <c r="A11" s="52"/>
      <c r="B11" s="5" t="s">
        <v>512</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5"/>
  <sheetViews>
    <sheetView zoomScaleNormal="100" workbookViewId="0">
      <selection activeCell="A8" sqref="A8"/>
    </sheetView>
  </sheetViews>
  <sheetFormatPr baseColWidth="10" defaultRowHeight="12.75"/>
  <cols>
    <col min="1" max="1" width="37.7109375" customWidth="1"/>
    <col min="2" max="4" width="15.7109375" customWidth="1"/>
  </cols>
  <sheetData>
    <row r="1" spans="1:4" ht="15">
      <c r="A1" s="360" t="s">
        <v>487</v>
      </c>
      <c r="B1" s="360"/>
      <c r="C1" s="360"/>
      <c r="D1" s="360"/>
    </row>
    <row r="2" spans="1:4">
      <c r="A2" t="s">
        <v>296</v>
      </c>
      <c r="D2" s="2" t="s">
        <v>78</v>
      </c>
    </row>
    <row r="3" spans="1:4" ht="13.5" thickBot="1">
      <c r="A3" s="20"/>
    </row>
    <row r="4" spans="1:4">
      <c r="A4" s="115"/>
      <c r="B4" s="116" t="s">
        <v>730</v>
      </c>
      <c r="C4" s="116" t="s">
        <v>748</v>
      </c>
      <c r="D4" s="140" t="s">
        <v>196</v>
      </c>
    </row>
    <row r="5" spans="1:4">
      <c r="A5" s="17"/>
      <c r="B5" s="122"/>
      <c r="C5" s="122"/>
      <c r="D5" s="122"/>
    </row>
    <row r="6" spans="1:4">
      <c r="A6" s="171" t="s">
        <v>235</v>
      </c>
      <c r="B6" s="87">
        <v>4106248160</v>
      </c>
      <c r="C6" s="87">
        <v>1793602716</v>
      </c>
      <c r="D6" s="172">
        <f>C6/B6-1</f>
        <v>-0.56320157815303595</v>
      </c>
    </row>
    <row r="7" spans="1:4">
      <c r="A7" s="171" t="s">
        <v>341</v>
      </c>
      <c r="B7" s="87">
        <v>-2121786601</v>
      </c>
      <c r="C7" s="87">
        <v>-1658872852</v>
      </c>
      <c r="D7" s="172">
        <f>C7/B7-1</f>
        <v>-0.21817168078157734</v>
      </c>
    </row>
    <row r="8" spans="1:4">
      <c r="A8" s="17"/>
      <c r="B8" s="59"/>
      <c r="C8" s="59"/>
      <c r="D8" s="172"/>
    </row>
    <row r="9" spans="1:4" ht="13.5" thickBot="1">
      <c r="A9" s="173" t="s">
        <v>342</v>
      </c>
      <c r="B9" s="174" t="s">
        <v>110</v>
      </c>
      <c r="C9" s="174" t="s">
        <v>110</v>
      </c>
      <c r="D9" s="175" t="s">
        <v>116</v>
      </c>
    </row>
    <row r="12" spans="1:4">
      <c r="B12" s="14"/>
    </row>
    <row r="15" spans="1:4">
      <c r="B15" s="12"/>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mergeCells count="1">
    <mergeCell ref="A1:D1"/>
  </mergeCells>
  <phoneticPr fontId="3" type="noConversion"/>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82</vt:i4>
      </vt:variant>
    </vt:vector>
  </HeadingPairs>
  <TitlesOfParts>
    <vt:vector size="82" baseType="lpstr">
      <vt:lpstr>Tabellenverzeichnis</vt:lpstr>
      <vt:lpstr>Kennzahlen</vt:lpstr>
      <vt:lpstr>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3.2.3 E</vt:lpstr>
      <vt:lpstr>3.3.1</vt:lpstr>
      <vt:lpstr>3.3.1 E</vt:lpstr>
      <vt:lpstr>Steuerbelastung NP</vt:lpstr>
      <vt:lpstr>4.1</vt:lpstr>
      <vt:lpstr>4.2</vt:lpstr>
      <vt:lpstr>4.3</vt:lpstr>
      <vt:lpstr>4.4</vt:lpstr>
      <vt:lpstr>Steuerbelastung JP</vt:lpstr>
      <vt:lpstr>5.1</vt:lpstr>
      <vt:lpstr>5.2</vt:lpstr>
      <vt:lpstr>Verteilung</vt:lpstr>
      <vt:lpstr>6.1.1</vt:lpstr>
      <vt:lpstr>6.1.2</vt:lpstr>
      <vt:lpstr>6.2.1</vt:lpstr>
      <vt:lpstr>6.2.2</vt:lpstr>
      <vt:lpstr>6.2.3</vt:lpstr>
      <vt:lpstr>6.2.4</vt:lpstr>
      <vt:lpstr>6.2.5</vt:lpstr>
      <vt:lpstr>6.2.6</vt:lpstr>
      <vt:lpstr>6.3.1</vt:lpstr>
      <vt:lpstr>6.3.2</vt:lpstr>
      <vt:lpstr>6.3.3</vt:lpstr>
      <vt:lpstr>6.3.4</vt:lpstr>
      <vt:lpstr>6.3.5</vt:lpstr>
      <vt:lpstr>6.3.6</vt:lpstr>
      <vt:lpstr>6.4.1</vt:lpstr>
      <vt:lpstr>6.4.2</vt:lpstr>
      <vt:lpstr>6.4.3</vt:lpstr>
      <vt:lpstr>6.4.4</vt:lpstr>
      <vt:lpstr>6.5.1</vt:lpstr>
      <vt:lpstr>6.5.2</vt:lpstr>
      <vt:lpstr>6.5.3</vt:lpstr>
      <vt:lpstr>6.5.4</vt:lpstr>
      <vt:lpstr>6.6.1</vt:lpstr>
      <vt:lpstr>6.6.2</vt:lpstr>
      <vt:lpstr>6.7.1</vt:lpstr>
      <vt:lpstr>6.7.2</vt:lpstr>
      <vt:lpstr>6.7.3</vt:lpstr>
      <vt:lpstr>6.7.4</vt:lpstr>
      <vt:lpstr>Zeitreihen</vt:lpstr>
      <vt:lpstr>7.1</vt:lpstr>
      <vt:lpstr>7.2</vt:lpstr>
      <vt:lpstr>7.3</vt:lpstr>
      <vt:lpstr>7.4</vt:lpstr>
      <vt:lpstr>7.5</vt:lpstr>
      <vt:lpstr>7.6</vt:lpstr>
      <vt:lpstr>7.10</vt:lpstr>
      <vt:lpstr>7.11</vt:lpstr>
      <vt:lpstr>7.12</vt:lpstr>
      <vt:lpstr>7.13</vt:lpstr>
      <vt:lpstr>7.15</vt:lpstr>
      <vt:lpstr>7.16</vt:lpstr>
      <vt:lpstr>7.17</vt:lpstr>
      <vt:lpstr>7.18</vt:lpstr>
      <vt:lpstr>Farbcodes</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2021-08-20T08:13:31Z</cp:lastPrinted>
  <dcterms:created xsi:type="dcterms:W3CDTF">2004-05-04T13:41:34Z</dcterms:created>
  <dcterms:modified xsi:type="dcterms:W3CDTF">2021-09-02T12:02:22Z</dcterms:modified>
</cp:coreProperties>
</file>