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60" yWindow="3270" windowWidth="23850" windowHeight="13785" tabRatio="864" activeTab="0"/>
  </bookViews>
  <sheets>
    <sheet name="Tabellenverzeichnis" sheetId="1" r:id="rId1"/>
    <sheet name="Tab_1" sheetId="2" r:id="rId2"/>
    <sheet name="Tab_2_1_1" sheetId="3" r:id="rId3"/>
    <sheet name="Tab_2_1_2" sheetId="4" r:id="rId4"/>
    <sheet name="Tab_2_1_3" sheetId="5" r:id="rId5"/>
    <sheet name="Tab_2_1_4" sheetId="6" r:id="rId6"/>
    <sheet name="Tab_2_1_5" sheetId="7" r:id="rId7"/>
    <sheet name="Tab_2_1_6" sheetId="8" r:id="rId8"/>
    <sheet name="Tab_2_1_7" sheetId="9" r:id="rId9"/>
    <sheet name="Tab_2_2_1" sheetId="10" r:id="rId10"/>
    <sheet name="Tab_2_3_1" sheetId="11" r:id="rId11"/>
    <sheet name="Tab_2_3_2" sheetId="12" r:id="rId12"/>
    <sheet name="Tab_2_3_3" sheetId="13" r:id="rId13"/>
    <sheet name="Tab_2_3_4" sheetId="14" r:id="rId14"/>
    <sheet name="Tab_2_3_5" sheetId="15" r:id="rId15"/>
    <sheet name="Tab_2_3_6" sheetId="16" r:id="rId16"/>
    <sheet name="Tab_2_3_7" sheetId="17" r:id="rId17"/>
    <sheet name="Tab_2_3_8" sheetId="18" r:id="rId18"/>
    <sheet name="Tab_2_3_9" sheetId="19" r:id="rId19"/>
    <sheet name="Tab_2_3_10" sheetId="20" r:id="rId20"/>
    <sheet name="Tab_3_1_1" sheetId="21" r:id="rId21"/>
    <sheet name="Tab_3_1_2" sheetId="22" r:id="rId22"/>
    <sheet name="Tab_3_1_3" sheetId="23" r:id="rId23"/>
    <sheet name="Tab_3_1_4" sheetId="24" r:id="rId24"/>
    <sheet name="Tab_3_1_5" sheetId="25" r:id="rId25"/>
    <sheet name="Tab_3_1_6" sheetId="26" r:id="rId26"/>
    <sheet name="Tab_3_1_7" sheetId="27" r:id="rId27"/>
    <sheet name="Tab_3_1_8" sheetId="28" r:id="rId28"/>
    <sheet name="Tab_3_1_9" sheetId="29" r:id="rId29"/>
    <sheet name="Tab_3_2_1" sheetId="30" r:id="rId30"/>
    <sheet name="Tab_3_2_2" sheetId="31" r:id="rId31"/>
    <sheet name="Tab_3_2_3" sheetId="32" r:id="rId32"/>
    <sheet name="Tab_3_3_1" sheetId="33" r:id="rId33"/>
    <sheet name="Tab_3_3_2" sheetId="34" r:id="rId34"/>
    <sheet name="Tab_3_3_3" sheetId="35" r:id="rId35"/>
    <sheet name="Tab_3_3_4" sheetId="36" r:id="rId36"/>
    <sheet name="Tab_3_3_5" sheetId="37" r:id="rId37"/>
    <sheet name="Tab_3_3_6" sheetId="38" r:id="rId38"/>
    <sheet name="Tab_3_3_7" sheetId="39" r:id="rId39"/>
    <sheet name="Tab_3_3_8" sheetId="40" r:id="rId40"/>
    <sheet name="Tab_3_3_9" sheetId="41" r:id="rId41"/>
    <sheet name="Tab_3_3_10" sheetId="42" r:id="rId42"/>
    <sheet name="Tab_3_3_11" sheetId="43" r:id="rId43"/>
    <sheet name="Tab_3_3_12" sheetId="44" r:id="rId44"/>
    <sheet name="Tab_4_1_1" sheetId="45" r:id="rId45"/>
    <sheet name="Tab_4_1_2" sheetId="46" r:id="rId46"/>
    <sheet name="Tab_4_2_1" sheetId="47" r:id="rId47"/>
    <sheet name="Tab_4_2_2" sheetId="48" r:id="rId48"/>
    <sheet name="Tab_4_3_1" sheetId="49" r:id="rId49"/>
    <sheet name="Tab_4_3_2" sheetId="50" r:id="rId50"/>
    <sheet name="Tab_5_1" sheetId="51" r:id="rId51"/>
    <sheet name="Tab_5_2" sheetId="52" r:id="rId52"/>
    <sheet name="Tab_5_3" sheetId="53" r:id="rId53"/>
    <sheet name="Tab_5_4" sheetId="54" r:id="rId54"/>
    <sheet name="Tab_5_5" sheetId="55" r:id="rId55"/>
    <sheet name="Tab_5_6" sheetId="56" r:id="rId56"/>
    <sheet name="Tab_5_7" sheetId="57" r:id="rId57"/>
    <sheet name="Tab_5_8" sheetId="58" r:id="rId58"/>
    <sheet name="Tab_5_9" sheetId="59" r:id="rId59"/>
    <sheet name="Tab_5_11" sheetId="60" r:id="rId60"/>
    <sheet name="Tab_5_12" sheetId="61" r:id="rId61"/>
    <sheet name="Tab_5_13_1" sheetId="62" r:id="rId62"/>
    <sheet name="Tab_5_13_2" sheetId="63" r:id="rId63"/>
    <sheet name="Tab_5_14" sheetId="64" r:id="rId64"/>
    <sheet name="Tab_5_15" sheetId="65" r:id="rId65"/>
    <sheet name="Tab_5_16" sheetId="66" r:id="rId66"/>
    <sheet name="Tab_5_17" sheetId="67" r:id="rId67"/>
    <sheet name="Tab_5_18" sheetId="68" r:id="rId68"/>
  </sheets>
  <definedNames>
    <definedName name="_xlnm.Print_Area" localSheetId="2">'Tab_2_1_1'!$A$1:$I$51</definedName>
    <definedName name="_xlnm.Print_Area" localSheetId="3">'Tab_2_1_2'!$A$1:$M$5</definedName>
    <definedName name="_xlnm.Print_Area" localSheetId="4">'Tab_2_1_3'!$A$1:$L$32</definedName>
    <definedName name="_xlnm.Print_Area" localSheetId="5">'Tab_2_1_4'!$A$1:$L$299</definedName>
    <definedName name="_xlnm.Print_Area" localSheetId="50">'Tab_5_1'!$A$1:$K$31</definedName>
    <definedName name="_xlnm.Print_Area" localSheetId="59">'Tab_5_11'!$A$1:$L$32</definedName>
    <definedName name="_xlnm.Print_Area" localSheetId="60">'Tab_5_12'!$A$1:$J$30</definedName>
    <definedName name="_xlnm.Print_Area" localSheetId="61">'Tab_5_13_1'!$A$1:$L$21</definedName>
    <definedName name="_xlnm.Print_Area" localSheetId="62">'Tab_5_13_2'!$A$1:$L$21</definedName>
    <definedName name="_xlnm.Print_Area" localSheetId="63">'Tab_5_14'!$A$1:$G$59</definedName>
    <definedName name="_xlnm.Print_Area" localSheetId="64">'Tab_5_15'!$A$1:$H$58</definedName>
    <definedName name="_xlnm.Print_Area" localSheetId="65">'Tab_5_16'!$A$1:$N$45</definedName>
    <definedName name="_xlnm.Print_Area" localSheetId="66">'Tab_5_17'!$A$1:$N$19</definedName>
    <definedName name="_xlnm.Print_Area" localSheetId="67">'Tab_5_18'!$A$1:$I$26</definedName>
    <definedName name="_xlnm.Print_Area" localSheetId="51">'Tab_5_2'!$A$1:$M$57</definedName>
    <definedName name="_xlnm.Print_Area" localSheetId="52">'Tab_5_3'!$A$1:$M$57</definedName>
    <definedName name="_xlnm.Print_Area" localSheetId="53">'Tab_5_4'!$A$1:$F$29</definedName>
    <definedName name="_xlnm.Print_Area" localSheetId="54">'Tab_5_5'!$A$1:$O$55</definedName>
    <definedName name="_xlnm.Print_Area" localSheetId="55">'Tab_5_6'!$A$1:$O$31</definedName>
    <definedName name="_xlnm.Print_Area" localSheetId="56">'Tab_5_7'!$A$1:$O$31</definedName>
    <definedName name="_xlnm.Print_Area" localSheetId="57">'Tab_5_8'!$A$1:$I$25</definedName>
    <definedName name="_xlnm.Print_Area" localSheetId="58">'Tab_5_9'!$A$1:$M$49</definedName>
    <definedName name="_xlnm.Print_Titles" localSheetId="5">'Tab_2_1_4'!$1:$3</definedName>
  </definedNames>
  <calcPr fullCalcOnLoad="1"/>
</workbook>
</file>

<file path=xl/sharedStrings.xml><?xml version="1.0" encoding="utf-8"?>
<sst xmlns="http://schemas.openxmlformats.org/spreadsheetml/2006/main" count="3406" uniqueCount="645">
  <si>
    <t>2006</t>
  </si>
  <si>
    <t>Somalia</t>
  </si>
  <si>
    <t>2005</t>
  </si>
  <si>
    <t>Altersgruppen</t>
  </si>
  <si>
    <t>Jahr</t>
  </si>
  <si>
    <t>0 - 6</t>
  </si>
  <si>
    <t>7 - 14</t>
  </si>
  <si>
    <t>15 - 19</t>
  </si>
  <si>
    <t>20 - 64</t>
  </si>
  <si>
    <t>65 +</t>
  </si>
  <si>
    <t>2000</t>
  </si>
  <si>
    <t>.</t>
  </si>
  <si>
    <t>Arbeitslose</t>
  </si>
  <si>
    <t>Bürger der Wohngemeinde</t>
  </si>
  <si>
    <t>Ständige Bevölkerung: Erwerbstätige</t>
  </si>
  <si>
    <t>Im Ganzen</t>
  </si>
  <si>
    <t>Index</t>
  </si>
  <si>
    <t>In Prozent</t>
  </si>
  <si>
    <t>Bevölkerungsquotienten</t>
  </si>
  <si>
    <t>Älteste Person</t>
  </si>
  <si>
    <t>Median</t>
  </si>
  <si>
    <t>Männer</t>
  </si>
  <si>
    <t>Frauen</t>
  </si>
  <si>
    <t>Ausländeranteil</t>
  </si>
  <si>
    <t>Ständige Bevölkerung: Nichterwerbstätige</t>
  </si>
  <si>
    <t>Jordanien</t>
  </si>
  <si>
    <t>Nigeria</t>
  </si>
  <si>
    <t>2001</t>
  </si>
  <si>
    <t>Erwerbstätige</t>
  </si>
  <si>
    <t>2002</t>
  </si>
  <si>
    <t>2007</t>
  </si>
  <si>
    <t>Afghanistan</t>
  </si>
  <si>
    <t>2004</t>
  </si>
  <si>
    <t>Irak</t>
  </si>
  <si>
    <t>Nepal</t>
  </si>
  <si>
    <t>Paraguay</t>
  </si>
  <si>
    <t>38.</t>
  </si>
  <si>
    <t>39.</t>
  </si>
  <si>
    <t>40.</t>
  </si>
  <si>
    <t>41.</t>
  </si>
  <si>
    <t>42.</t>
  </si>
  <si>
    <t>43.</t>
  </si>
  <si>
    <t>44.</t>
  </si>
  <si>
    <t>45.</t>
  </si>
  <si>
    <t>Kurzaufenthalter (weniger als 12 Monate in FL)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</si>
  <si>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</si>
  <si>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</si>
  <si>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</si>
  <si>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</si>
  <si>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</si>
  <si>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</si>
  <si>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</si>
  <si>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</si>
  <si>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</si>
  <si>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</si>
  <si>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Anteil an der ständigen Bevölkerung</t>
  </si>
  <si>
    <t>Estland</t>
  </si>
  <si>
    <t>1960</t>
  </si>
  <si>
    <t>1970</t>
  </si>
  <si>
    <t>1980</t>
  </si>
  <si>
    <t>1990</t>
  </si>
  <si>
    <t>Quelle: Volkszählung</t>
  </si>
  <si>
    <t>Senegal</t>
  </si>
  <si>
    <t>2003</t>
  </si>
  <si>
    <t>Armenien</t>
  </si>
  <si>
    <t>Iran</t>
  </si>
  <si>
    <t>Angaben in Jahren</t>
  </si>
  <si>
    <t>Litauen</t>
  </si>
  <si>
    <t>Ständige Bevölkerung nach Altersjahr, Geschlecht und Heimat</t>
  </si>
  <si>
    <t>Ständige Bevölkerung nach Altersjahr, Geschlecht und Zivilstand</t>
  </si>
  <si>
    <t>Pos.</t>
  </si>
  <si>
    <t>1.</t>
  </si>
  <si>
    <t>Ständige Bevölkerung Total</t>
  </si>
  <si>
    <t>2.</t>
  </si>
  <si>
    <t>Liechtensteiner</t>
  </si>
  <si>
    <t>3.</t>
  </si>
  <si>
    <t>Ausländer</t>
  </si>
  <si>
    <t>nach Kategorie:</t>
  </si>
  <si>
    <t>4.</t>
  </si>
  <si>
    <t>Niedergelassene</t>
  </si>
  <si>
    <t>5.</t>
  </si>
  <si>
    <t>Jahresaufenthalter</t>
  </si>
  <si>
    <t>6.</t>
  </si>
  <si>
    <t>7.</t>
  </si>
  <si>
    <t>8.</t>
  </si>
  <si>
    <t>nach Nationalität:</t>
  </si>
  <si>
    <t>9.</t>
  </si>
  <si>
    <t>EWR-Bürger</t>
  </si>
  <si>
    <t>10.</t>
  </si>
  <si>
    <t>CH-Bürger</t>
  </si>
  <si>
    <t>11.</t>
  </si>
  <si>
    <t>Drittausländer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</si>
  <si>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</si>
  <si>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</si>
  <si>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</si>
  <si>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</si>
  <si>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</si>
  <si>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</si>
  <si>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</si>
  <si>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</si>
  <si>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</si>
  <si>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</si>
  <si>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</si>
  <si>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</si>
  <si>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</si>
  <si>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</si>
  <si>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</si>
  <si>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</si>
  <si>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</si>
  <si>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</si>
  <si>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</si>
  <si>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</si>
  <si>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</si>
  <si>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</si>
  <si>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</si>
  <si>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</si>
  <si>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</si>
  <si>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</si>
  <si>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*</t>
  </si>
  <si>
    <t>Wohnbevölkerung</t>
  </si>
  <si>
    <t>Ständige Bevölkerung</t>
  </si>
  <si>
    <t>Gesamt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</si>
  <si>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</si>
  <si>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</si>
  <si>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</si>
  <si>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</si>
  <si>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</si>
  <si>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</si>
  <si>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</si>
  <si>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</si>
  <si>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</si>
  <si>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</si>
  <si>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</si>
  <si>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</si>
  <si>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</si>
  <si>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</si>
  <si>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</si>
  <si>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Kurzaufenthalter</t>
  </si>
  <si>
    <t>Zöllner und Angehörige</t>
  </si>
  <si>
    <t>Ausländeranteil nach Wohngemeinde</t>
  </si>
  <si>
    <t>ledig</t>
  </si>
  <si>
    <t>verheiratet</t>
  </si>
  <si>
    <t>verwitwet</t>
  </si>
  <si>
    <t>getrennt</t>
  </si>
  <si>
    <t>geschieden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</si>
  <si>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</si>
  <si>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</si>
  <si>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</si>
  <si>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</si>
  <si>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</si>
  <si>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</si>
  <si>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</si>
  <si>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</si>
  <si>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</si>
  <si>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</si>
  <si>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</si>
  <si>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</si>
  <si>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</si>
  <si>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</si>
  <si>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</si>
  <si>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</si>
  <si>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</si>
  <si>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</si>
  <si>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Mazedonien</t>
  </si>
  <si>
    <t>Slowenien</t>
  </si>
  <si>
    <t>Türkei</t>
  </si>
  <si>
    <t>Andere</t>
  </si>
  <si>
    <t>Grossbritannien</t>
  </si>
  <si>
    <t>Ägypten</t>
  </si>
  <si>
    <t>Algerien</t>
  </si>
  <si>
    <t>Argentinien</t>
  </si>
  <si>
    <t>Australien</t>
  </si>
  <si>
    <t>Brasilien</t>
  </si>
  <si>
    <t>Bulgarien</t>
  </si>
  <si>
    <t>Chile</t>
  </si>
  <si>
    <t>Ecuador</t>
  </si>
  <si>
    <t>Indien</t>
  </si>
  <si>
    <t>Indonesien</t>
  </si>
  <si>
    <t>Japan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</si>
  <si>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</si>
  <si>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</si>
  <si>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</si>
  <si>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</si>
  <si>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</si>
  <si>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</si>
  <si>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</si>
  <si>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</si>
  <si>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</si>
  <si>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</si>
  <si>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</si>
  <si>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Thailand</t>
  </si>
  <si>
    <t>Tunesien</t>
  </si>
  <si>
    <t>Ukraine</t>
  </si>
  <si>
    <t>Ungarn</t>
  </si>
  <si>
    <t>USA</t>
  </si>
  <si>
    <t>Vorläufig Aufgenommene</t>
  </si>
  <si>
    <t>L</t>
  </si>
  <si>
    <t>T</t>
  </si>
  <si>
    <t>Zivilstand</t>
  </si>
  <si>
    <t>Äthiopien</t>
  </si>
  <si>
    <t>Liechtensteiner nach Altersgruppen und Geschlecht seit 1960</t>
  </si>
  <si>
    <t>Kambodscha</t>
  </si>
  <si>
    <t>Erläuterung zur Tabelle:</t>
  </si>
  <si>
    <t>Jahre 1960, 1970, 1980 und 1990 aus der Volkszählung</t>
  </si>
  <si>
    <t>2008</t>
  </si>
  <si>
    <t>Altersgruppen der Männer</t>
  </si>
  <si>
    <t>Altersgruppen der Frauen</t>
  </si>
  <si>
    <t>Selbstständige</t>
  </si>
  <si>
    <t>Unselbstständige</t>
  </si>
  <si>
    <t>Nichtständige Bevölkerung</t>
  </si>
  <si>
    <t>Nichtständige Bevölkerung mit Erwerbstätigkeit in FL</t>
  </si>
  <si>
    <t>römisch-katholisch</t>
  </si>
  <si>
    <t>andere Konfess.</t>
  </si>
  <si>
    <t>ohne Angabe</t>
  </si>
  <si>
    <t>Jugendquotient</t>
  </si>
  <si>
    <t>unter 20 Jahre</t>
  </si>
  <si>
    <t>20 bis 64 Jahre</t>
  </si>
  <si>
    <t>65+ Jahre</t>
  </si>
  <si>
    <t>Anteil 80+ Jahre an 65+ Jahre</t>
  </si>
  <si>
    <t>5 Zeitreihen</t>
  </si>
  <si>
    <t>Ständige Bevölkerung nach Staatsbürgerschaft, Geschlecht und Wohngemeinde</t>
  </si>
  <si>
    <t>Sektor 1 
Landwirtschaft</t>
  </si>
  <si>
    <t>Sektor 2 
Industrie</t>
  </si>
  <si>
    <t>Sektor 3
Dienstleistungen</t>
  </si>
  <si>
    <t>Hausfrauen, Kinder,
Schüler, Studenten und
übrige Erwachsene</t>
  </si>
  <si>
    <t>Kinder, Schüler
und Studenten</t>
  </si>
  <si>
    <t>Hausfrauen und
Hausmänner</t>
  </si>
  <si>
    <t>Rentner und
Pensionierte</t>
  </si>
  <si>
    <t>Rentner, Pensionierte,
Unterstützte und 
Arbeitslose</t>
  </si>
  <si>
    <t>Erläuterung zu den Tabellen:</t>
  </si>
  <si>
    <t>Bevölkerung und Erwerbstätigkeit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</si>
  <si>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</si>
  <si>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</si>
  <si>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</si>
  <si>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davon Kurzaufenthalter (12 Monate und länger in FL)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</si>
  <si>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</si>
  <si>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</si>
  <si>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</si>
  <si>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</si>
  <si>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</si>
  <si>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</si>
  <si>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</si>
  <si>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</si>
  <si>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</si>
  <si>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</si>
  <si>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</si>
  <si>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</si>
  <si>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</si>
  <si>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Taiwan</t>
  </si>
  <si>
    <t>Tschechien</t>
  </si>
  <si>
    <t>Usbekistan</t>
  </si>
  <si>
    <t>Eritrea</t>
  </si>
  <si>
    <t>2009</t>
  </si>
  <si>
    <t>bei Geburt</t>
  </si>
  <si>
    <t>Quelle: Eurostat</t>
  </si>
  <si>
    <t>Lebenserwartung seit 1997</t>
  </si>
  <si>
    <t>Daueraufenthalter</t>
  </si>
  <si>
    <t>Neuseeland</t>
  </si>
  <si>
    <t>2010</t>
  </si>
  <si>
    <t>56.</t>
  </si>
  <si>
    <t>Ständige Bevölkerung nach Bewilligungskategorien und Wohngemeinde</t>
  </si>
  <si>
    <t>EWR</t>
  </si>
  <si>
    <t>Drittstaaten</t>
  </si>
  <si>
    <t>2011</t>
  </si>
  <si>
    <t>Ständige Bevölkerung nach Gemeinden seit 1960</t>
  </si>
  <si>
    <t xml:space="preserve">Ständige ausländische Bevölkerung und Ausländeranteil nach Gemeinden seit 1960 </t>
  </si>
  <si>
    <t>Ständige Bevölkerung nach Altersgruppen und Heimat seit 1960</t>
  </si>
  <si>
    <t>Erwerbstätige ständige Bevölkerung seit 1960</t>
  </si>
  <si>
    <t>Nichterwerbstätige ständige Bevölkerung seit 1960</t>
  </si>
  <si>
    <t>Ständige Bevölkerung nach Heimat und Geschlecht seit 1960</t>
  </si>
  <si>
    <t>Ständige Bevölkerung nach Nationalität seit 2000</t>
  </si>
  <si>
    <t>eing. Partn.</t>
  </si>
  <si>
    <t>Ständige ausländische Bevölkerung nach Altersgruppen und Geschlecht seit 1960</t>
  </si>
  <si>
    <t>Asylbewerber, Schutzbedürftige und vorläufig Aufgenommene
(weniger als 12 Monate in FL)</t>
  </si>
  <si>
    <t>Asylbewerber, Schutzbedürftige und vorläufig Aufgenommene 
(weniger als 12 Monate in FL)</t>
  </si>
  <si>
    <t>2012</t>
  </si>
  <si>
    <t>Übriges Europa</t>
  </si>
  <si>
    <t>Afrika</t>
  </si>
  <si>
    <t>Amerika</t>
  </si>
  <si>
    <t>Asien</t>
  </si>
  <si>
    <t>Ozeanien</t>
  </si>
  <si>
    <t>China</t>
  </si>
  <si>
    <t>Panama</t>
  </si>
  <si>
    <t>Venezuela</t>
  </si>
  <si>
    <t>Syrien</t>
  </si>
  <si>
    <t>Niedergelassene nach Staatsbürgerschaft und Wohngemeinde</t>
  </si>
  <si>
    <t>aufgel. Partn.</t>
  </si>
  <si>
    <t>protestantisch</t>
  </si>
  <si>
    <t>Total Männer</t>
  </si>
  <si>
    <t>Total Frauen</t>
  </si>
  <si>
    <t>Jahre 2000 bis 2003: EWR-18</t>
  </si>
  <si>
    <t>Jahre 2004 bis 2006: EWR-28</t>
  </si>
  <si>
    <t>Jahre 2007 bis 2012: EWR-30</t>
  </si>
  <si>
    <t>mit 60 Jahren</t>
  </si>
  <si>
    <t>mit 65 Jahren</t>
  </si>
  <si>
    <t>Mittlere ständige Bevölkerung</t>
  </si>
  <si>
    <t>Mittlere Bevölkerung seit 2000</t>
  </si>
  <si>
    <t>Mittlere Anzahl Kurzaufenthalter bis 12 Monate</t>
  </si>
  <si>
    <t>Mittlere Bevölkerung</t>
  </si>
  <si>
    <t>2013</t>
  </si>
  <si>
    <t>Madagaskar</t>
  </si>
  <si>
    <t>Bangladesch</t>
  </si>
  <si>
    <t>Bevölkerungsquotienten und Bevölkerungsanteile seit 1960</t>
  </si>
  <si>
    <t>Durchschnittsalter der ständigen Bevölkerung per 31. Dezember seit 2000</t>
  </si>
  <si>
    <t>Ständige Bevölkerung nach Zivilstand und Geschlecht seit 2000</t>
  </si>
  <si>
    <t>Erwerbsquoten der 15- bis 64-Jährigen nach Heimat und Geschlecht seit 2000</t>
  </si>
  <si>
    <t>2014</t>
  </si>
  <si>
    <t>Erwerbstätigenquoten der 20- bis 64-Jährigen nach Heimat und Geschlecht seit 2000</t>
  </si>
  <si>
    <t>Burkina Faso</t>
  </si>
  <si>
    <t>Albanien</t>
  </si>
  <si>
    <t>Ab dem Jahre 2013: EWR-31</t>
  </si>
  <si>
    <t>Mittlere Anzahl Saisonniers</t>
  </si>
  <si>
    <t>Jahr 1990: 990 Erwerbstätige konnten keinem Wirtschaftssektor zugeteilt werden.</t>
  </si>
  <si>
    <t>verst. Partn.</t>
  </si>
  <si>
    <t>2015</t>
  </si>
  <si>
    <t>Island</t>
  </si>
  <si>
    <t>Andorra</t>
  </si>
  <si>
    <t>Kenia</t>
  </si>
  <si>
    <t>Mauritius</t>
  </si>
  <si>
    <t>Bahamas</t>
  </si>
  <si>
    <t>Costa Rica</t>
  </si>
  <si>
    <t>Haiti</t>
  </si>
  <si>
    <t>Kanada</t>
  </si>
  <si>
    <t>St. Kitts und Nevis</t>
  </si>
  <si>
    <t>St. Lucia</t>
  </si>
  <si>
    <t>Georgien</t>
  </si>
  <si>
    <t>Kasachstan</t>
  </si>
  <si>
    <t>Laos</t>
  </si>
  <si>
    <t>Verein. arab. Emirate</t>
  </si>
  <si>
    <t>Ständige Bevölkerung per 1. Jan.</t>
  </si>
  <si>
    <t>Ständige Bevölkerung 
per 31. Dez.</t>
  </si>
  <si>
    <t>Kurzaufenthalter bis 12 Monate per 1. Jan.</t>
  </si>
  <si>
    <t>Kurzaufenthalter bis 12 Monate per 31. Dez.</t>
  </si>
  <si>
    <t>2016</t>
  </si>
  <si>
    <t>Ghana</t>
  </si>
  <si>
    <t>Singapur</t>
  </si>
  <si>
    <t>Liechtensteinische Bürger nach Wohn- und Heimatgemeinde seit 1995</t>
  </si>
  <si>
    <t>2017</t>
  </si>
  <si>
    <t>Altersquotient</t>
  </si>
  <si>
    <t>Gesamtquotient</t>
  </si>
  <si>
    <t>Nicaragua</t>
  </si>
  <si>
    <t>Vietnam</t>
  </si>
  <si>
    <t>Bürger nach Heimat- und Wohngemeinde</t>
  </si>
  <si>
    <t>Anwesenheitsdauer der Niedergelassenen nach Staatsbürgerschaft</t>
  </si>
  <si>
    <t>Aufenthaltsdauer</t>
  </si>
  <si>
    <t>weniger als 10 Jahre</t>
  </si>
  <si>
    <t>10 bis 14 Jahre</t>
  </si>
  <si>
    <t>15 bis 17 Jahre</t>
  </si>
  <si>
    <t>18 bis 29 Jahre</t>
  </si>
  <si>
    <t>30 bis 39 Jahre</t>
  </si>
  <si>
    <t>40 und mehr Jahre</t>
  </si>
  <si>
    <t>Daueraufenthalter nach Staatsbürgerschaft und Wohngemeinde</t>
  </si>
  <si>
    <t>Anwesenheitsdauer der Daueraufenthalter nach Staatsbürgerschaft</t>
  </si>
  <si>
    <t>Jahresaufenthalter nach Staatsbürgerschaft und Wohngemeinde</t>
  </si>
  <si>
    <t>Anwesenheitsdauer der Jahresaufenthalter nach Staatsbürgerschaft</t>
  </si>
  <si>
    <t>Zöllner und Angehörige nach Staatsbürgerschaft und Wohngemeinde</t>
  </si>
  <si>
    <t>Kurzaufenthalter nach Staatsbürgerschaft und Wohngemeinde</t>
  </si>
  <si>
    <t>(Anwesenheitsdauer 12 Monate und länger)</t>
  </si>
  <si>
    <t>Kurzaufenthalter nach Zulassungsgrund und Geschlecht</t>
  </si>
  <si>
    <t>Personen</t>
  </si>
  <si>
    <t>Stellenantritt mit Wohnsitznahme</t>
  </si>
  <si>
    <t>Vorläufige Aufgenommene nach Staatsbürgerschaft, Geschlecht und Wohngemeinde</t>
  </si>
  <si>
    <t>Ständige Bevölkerung nach Wirtschaftszweig und Wohngemeinde – Übersicht</t>
  </si>
  <si>
    <t>Erwerbstätig</t>
  </si>
  <si>
    <t>Sektor 1</t>
  </si>
  <si>
    <t>A Land- u. Forstw., Fischerei</t>
  </si>
  <si>
    <t>Sektor 2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</si>
  <si>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</si>
  <si>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</si>
  <si>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</si>
  <si>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</si>
  <si>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</si>
  <si>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</si>
  <si>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</si>
  <si>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</si>
  <si>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elektrischen Ausrüstungen</t>
  </si>
  <si>
    <t>CK Maschinenbau</t>
  </si>
  <si>
    <t>CL Fahrzeugbau</t>
  </si>
  <si>
    <t>CM Sonst. Warenh.; Rep. u. Install. Maschinen</t>
  </si>
  <si>
    <t>D-E Energie- u. Wasserversorg.; Abfallentsorg.</t>
  </si>
  <si>
    <t>F Baugewerbe</t>
  </si>
  <si>
    <t>Sektor 3</t>
  </si>
  <si>
    <t>G Handel, Instandhalt. u. Rep. v. Fahrzeugen</t>
  </si>
  <si>
    <t>H Verkehr u. Lagerei</t>
  </si>
  <si>
    <t>I Gastgewerbe</t>
  </si>
  <si>
    <t>JA Verlagswesen, audiovis. Medien u. Rundfunk</t>
  </si>
  <si>
    <t>JB Telekommunikation</t>
  </si>
  <si>
    <t>JC Informatik- u. Informations-Dienstl.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</si>
  <si>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</si>
  <si>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</si>
  <si>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</si>
  <si>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</si>
  <si>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</si>
  <si>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</si>
  <si>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</si>
  <si>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</si>
  <si>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</si>
  <si>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QA Gesundheitswesen</t>
  </si>
  <si>
    <t>QB Heime u. Sozialwesen</t>
  </si>
  <si>
    <t>R Kunst, Unterhaltung u. Erholung</t>
  </si>
  <si>
    <t>S Sonst. Dienstl.</t>
  </si>
  <si>
    <t>T Private Haushalte mit Hauspersonal</t>
  </si>
  <si>
    <t>U Exterritoriale Org.; Zollbehörden</t>
  </si>
  <si>
    <t>Arbeitslos</t>
  </si>
  <si>
    <t>Hausfrau / Hausmann</t>
  </si>
  <si>
    <t>Kind, Schüler, Student</t>
  </si>
  <si>
    <t>Rentner</t>
  </si>
  <si>
    <t>Im Inland tätige ständige Bevölkerung nach Wirtschaftszweig und Wohngemeinde</t>
  </si>
  <si>
    <t>Im Inland tätige ständige Bevölkerung nach Wirtschaftszweig, Heimat und Geschlecht</t>
  </si>
  <si>
    <t>Heimat</t>
  </si>
  <si>
    <t>Im Inland tätige ständige Bevölkerung nach Wirtschaftszweig und Kategorie</t>
  </si>
  <si>
    <t>Kategorie</t>
  </si>
  <si>
    <t>Im Inland tätige ständige Bevölkerung nach Staatsbürgerschaft und Wohngemeinde</t>
  </si>
  <si>
    <t>Im Ausland tätige ständige Bevölkerung nach Wirtschaftszweig und Wohngemeinde</t>
  </si>
  <si>
    <t>Im Ausland tätige ständige Bevölkerung nach Wirtschaftszweig, Heimat und Geschlecht</t>
  </si>
  <si>
    <t>Im Ausland tätige ständige Bevölkerung nach Wirtschaftszweig und Kategorie</t>
  </si>
  <si>
    <t>Im Ausland tätige ständige Bevölkerung nach Staatsbürgerschaft und Wohngemeinde</t>
  </si>
  <si>
    <t>Liechtensteiner nach Wirtschaftszweig und Wohngemeinde – Übersicht</t>
  </si>
  <si>
    <t>Im Inland tätige Liechtensteiner nach Wirtschaftszweig und Wohngemeinde</t>
  </si>
  <si>
    <t>Im Ausland tätige Liechtensteiner nach Wirtschaftszweig und Wohngemeinde</t>
  </si>
  <si>
    <t>Erwerbstätige Niedergelassene nach Staatsbürgerschaft und Wohngemeinde</t>
  </si>
  <si>
    <t>Geschlecht</t>
  </si>
  <si>
    <t>Erwerbstätige Daueraufenthalter nach Staatsbürgerschaft und Wohngemeinde</t>
  </si>
  <si>
    <t>Erwerbstätige Jahresaufenthalter nach Staatsbürgerschaft und Wohngemeinde</t>
  </si>
  <si>
    <t>Erwerbstätige Zöllner und Angehörige nach Staatsbürgerschaft, Geschlecht und Wohngemeinde</t>
  </si>
  <si>
    <t>Erwerbstätige Kurzaufenthalter nach Staatsbürgerschaft und Wohngemeinde</t>
  </si>
  <si>
    <t>Vorläufig Aufgenommene nach Wirtschaftszweig und Staatsbürgerschaft</t>
  </si>
  <si>
    <t>Staatsbürgerschaft</t>
  </si>
  <si>
    <t>Nichtständige Bevölkerung nach Bewilligungskategorie und Wohngemeinde</t>
  </si>
  <si>
    <t>(Anwesenheitsdauer bis 12 Monate)</t>
  </si>
  <si>
    <t>Asylbewerber</t>
  </si>
  <si>
    <t>Kamerun</t>
  </si>
  <si>
    <t>Malaysia</t>
  </si>
  <si>
    <t>Mongolei</t>
  </si>
  <si>
    <t>Staatenlos</t>
  </si>
  <si>
    <t>31.12.2018</t>
  </si>
  <si>
    <t>Tabelle 2.1.2</t>
  </si>
  <si>
    <t>Tabelle 2.1.3</t>
  </si>
  <si>
    <t>Tabelle 2.1.4</t>
  </si>
  <si>
    <t>Tabelle 2.2.1</t>
  </si>
  <si>
    <t>Tabelle 3.1.1</t>
  </si>
  <si>
    <t>Tabelle 3.1.2</t>
  </si>
  <si>
    <t>Tabelle 3.1.3</t>
  </si>
  <si>
    <t>Tabelle 3.1.4</t>
  </si>
  <si>
    <t>Tabelle 3.1.6</t>
  </si>
  <si>
    <t>Tabelle 3.1.7</t>
  </si>
  <si>
    <t>Tabelle 3.1.8</t>
  </si>
  <si>
    <t>Tabelle 3.1.9</t>
  </si>
  <si>
    <t>Tabelle 3.2.1</t>
  </si>
  <si>
    <t>Tabelle 3.2.2</t>
  </si>
  <si>
    <t>Tabelle 3.2.3</t>
  </si>
  <si>
    <t>Tabelle 2.1.1</t>
  </si>
  <si>
    <t>Die Angehörigen der Zöllner erhalten auf Wunsch seit dem 14. August 2001 eine Jahresaufenthaltsbewilligung.</t>
  </si>
  <si>
    <t>Die Angehörigen der Zöllner erhalten auf Wunsch ab dem 14. August 2001 eine Jahresaufenthaltsbewilligung.</t>
  </si>
  <si>
    <t>2018</t>
  </si>
  <si>
    <t>verheiratet, eing. Partn.</t>
  </si>
  <si>
    <t>verwitwet, verst. Partn.</t>
  </si>
  <si>
    <t>geschieden, aufgel. Partn.</t>
  </si>
  <si>
    <t>Drittländer</t>
  </si>
  <si>
    <t>Tabelle 4.1.1</t>
  </si>
  <si>
    <t>Tabelle 4.1.2</t>
  </si>
  <si>
    <t>Tabelle  4.3.2</t>
  </si>
  <si>
    <t>Tabelle 5.1</t>
  </si>
  <si>
    <t>Tabelle 5.2</t>
  </si>
  <si>
    <t>Tabelle 5.3</t>
  </si>
  <si>
    <t>Tabelle 5.4</t>
  </si>
  <si>
    <t>Tabelle 5.5</t>
  </si>
  <si>
    <t>Tabelle 5.6</t>
  </si>
  <si>
    <t>Tabelle 5.7</t>
  </si>
  <si>
    <t>Tabelle 5.8</t>
  </si>
  <si>
    <t>Tabelle 5.9</t>
  </si>
  <si>
    <t>Tabelle 5.10</t>
  </si>
  <si>
    <t>Tabelle 5.11</t>
  </si>
  <si>
    <t>Tabelle 5.12</t>
  </si>
  <si>
    <t>Tabelle 5.13.2</t>
  </si>
  <si>
    <t>Tabelle 5.13.1</t>
  </si>
  <si>
    <t>Tabelle 5.14</t>
  </si>
  <si>
    <t>Tabelle 5.15</t>
  </si>
  <si>
    <t>Tabelle 5.16</t>
  </si>
  <si>
    <t>Tabelle 5.17</t>
  </si>
  <si>
    <t>Tabelle 5.18</t>
  </si>
  <si>
    <t>Tabelle 2.3.1</t>
  </si>
  <si>
    <t>Tabelle 2.3.2</t>
  </si>
  <si>
    <t>Tabelle 2.3.3</t>
  </si>
  <si>
    <t>Tabelle 2.3.4</t>
  </si>
  <si>
    <t>Tabelle 2.3.5</t>
  </si>
  <si>
    <t>Tabelle 2.3.6</t>
  </si>
  <si>
    <t>Tabelle 2.3.7</t>
  </si>
  <si>
    <t>Tabelle 2.3.8</t>
  </si>
  <si>
    <t>Tabelle 2.3.9</t>
  </si>
  <si>
    <t>Tabelle 2.3.10</t>
  </si>
  <si>
    <t>Tabelle 3.3.1</t>
  </si>
  <si>
    <t>Tabelle 3.3.2</t>
  </si>
  <si>
    <t>Tabelle 3.3.3</t>
  </si>
  <si>
    <t>Tabelle 3.3.4</t>
  </si>
  <si>
    <t>Tabelle 3.3.5</t>
  </si>
  <si>
    <t>Tabelle 3.3.6</t>
  </si>
  <si>
    <t>Tabelle 3.3.7</t>
  </si>
  <si>
    <t>Tabelle 3.3.8</t>
  </si>
  <si>
    <t>Tabelle 3.3.9</t>
  </si>
  <si>
    <t>Tabelle 3.3.10</t>
  </si>
  <si>
    <t>Tabelle 3.3.11</t>
  </si>
  <si>
    <t>Tabelle 3.3.12</t>
  </si>
  <si>
    <t>Erwerbstätige nichtständige Bevölkerung nach Arbeitsland, Bewilligungskategorien, Wirtschaftszweig und Geschlecht</t>
  </si>
  <si>
    <t>V, P</t>
  </si>
  <si>
    <t>G, PA</t>
  </si>
  <si>
    <t>W, PV</t>
  </si>
  <si>
    <t>Alter</t>
  </si>
  <si>
    <t>Heimatgemeinde</t>
  </si>
  <si>
    <t>Hausfrau /Hausmann</t>
  </si>
  <si>
    <t>Erwerbstätige Niedergelassene nach Erwerbsstatus, Wirtschaftszweig und Geschlecht</t>
  </si>
  <si>
    <t>Erwerbstätige Daueraufenthalter nach Erwerbsstatus, Wirtschaftszweig und Geschlecht</t>
  </si>
  <si>
    <t>Erwerbstätige Jahresaufenthalter nach Erwerbsstatus, Wirtschaftszweig und Geschlecht</t>
  </si>
  <si>
    <t>Zöllner und Angehörige nach Erwerbsstatus, Wirtschaftszweig und Geschlecht</t>
  </si>
  <si>
    <t>Kurzaufenthalter nach Erwerbsstatus, Wirtschaftszweig und Geschlecht</t>
  </si>
  <si>
    <t>Vorläufig Aufgenommene nach Erwerbsstatus, Wirtschaftszweig und Geschlecht</t>
  </si>
  <si>
    <t>Im Inland erwerbstätig</t>
  </si>
  <si>
    <t>Kurzaufenthalter nach Arbeitsland, Wirtschaftszweig, Geschlecht und Staatsbürgerschaft</t>
  </si>
  <si>
    <t>Asylbewerber, Schutzbedürftige, vorläufig Aufgenommene nach Staatsbürgerschaft, Geschlecht und Wohngemeinde</t>
  </si>
  <si>
    <t>Asylbewerber, Schutzbedürftige, vorläufig Aufgenommene nach Arbeitsland, Wirtschaftszweig, Geschlecht und Staatsbürgerschaft</t>
  </si>
  <si>
    <t>Alter der ältesten Frau und des ältesten Mannes und Median seit 2000</t>
  </si>
  <si>
    <t>nur Staatsbürger</t>
  </si>
  <si>
    <t xml:space="preserve"> wohnhafte Liechtensteiner Total</t>
  </si>
  <si>
    <t xml:space="preserve">Bürger anderer Liechtensteiner Gemeinden </t>
  </si>
  <si>
    <t>Bevölkerung nach Heimat und Konfession seit 1930</t>
  </si>
  <si>
    <t>Mittlere Anzahl Saisonniers: Mittel der Anzahl Saisonniers per 1. Januar und 30. Juni.</t>
  </si>
  <si>
    <t>Andere Konfessionen: Die Kategorie "andere Konfessionen" beinhaltet auch Konfessionslose</t>
  </si>
  <si>
    <t>31.12.2019</t>
  </si>
  <si>
    <t>Stichtag: 31.12.2019 (1363) Dezember</t>
  </si>
  <si>
    <t>Sudan</t>
  </si>
  <si>
    <t>Libanon</t>
  </si>
  <si>
    <t>Familien Nachzug</t>
  </si>
  <si>
    <t>Ruanda</t>
  </si>
  <si>
    <t>Sierra Leone</t>
  </si>
  <si>
    <t>2019</t>
  </si>
  <si>
    <t>Erläuterungen zu Tabellen:</t>
  </si>
  <si>
    <t>Titel</t>
  </si>
  <si>
    <t>Tabelle</t>
  </si>
  <si>
    <t>1 Übersicht</t>
  </si>
  <si>
    <t>Tab_1</t>
  </si>
  <si>
    <t>2 Ständige Bevölkerung - 2.1 Gesamt</t>
  </si>
  <si>
    <t>Tab_2_1_1</t>
  </si>
  <si>
    <t>Tab_2_1_2</t>
  </si>
  <si>
    <t>Tab_2_1_3</t>
  </si>
  <si>
    <t>Tab_2_1_4</t>
  </si>
  <si>
    <t>Tab_2_1_5</t>
  </si>
  <si>
    <t>Tab_2_1_6</t>
  </si>
  <si>
    <t>Tab_2_1_7</t>
  </si>
  <si>
    <t>2.2 Liechtensteinerinnen und Liechtensteiner</t>
  </si>
  <si>
    <t>Tab_2_2_1</t>
  </si>
  <si>
    <t>2.3 Personen mit ausländerrechtlichen Bewilligungen</t>
  </si>
  <si>
    <t>Tab_2_3_1</t>
  </si>
  <si>
    <t>Tab_2_3_2</t>
  </si>
  <si>
    <t>Tab_2_3_3</t>
  </si>
  <si>
    <t>Tab_2_3_4</t>
  </si>
  <si>
    <t>Tab_2_3_5</t>
  </si>
  <si>
    <t>Tab_2_3_6</t>
  </si>
  <si>
    <t>Tab_2_3_7</t>
  </si>
  <si>
    <t>Tab_2_3_8</t>
  </si>
  <si>
    <t>Tab_2_3_9</t>
  </si>
  <si>
    <t>Tab_2_3_10</t>
  </si>
  <si>
    <t>3 Erwerbstätige ständige Bevölkerung - 3.1 Gesamt</t>
  </si>
  <si>
    <t>Ständige Bevölkerung nach Wirtschaftszweig und Wohngemeinde - Übersicht</t>
  </si>
  <si>
    <t>Tab_3_1_1</t>
  </si>
  <si>
    <t>Tab_3_1_2</t>
  </si>
  <si>
    <t xml:space="preserve">Im Inland tätige ständige Bevölkerung nach Wirtschaftszweig, Heimat und Geschlecht </t>
  </si>
  <si>
    <t>Tab_3_1_3</t>
  </si>
  <si>
    <t>Tab_3_1_4</t>
  </si>
  <si>
    <t>Tab_3_1_5</t>
  </si>
  <si>
    <t>Tab_3_1_6</t>
  </si>
  <si>
    <t>Tab_3_1_7</t>
  </si>
  <si>
    <t>Tab_3_1_8</t>
  </si>
  <si>
    <t>Tab_3_1_9</t>
  </si>
  <si>
    <t>3.2 Liechtensteinerinnen und Liechtensteiner</t>
  </si>
  <si>
    <t>Liechtensteiner nach Wirtschaftszweig und Wohngemeinde - Übersicht</t>
  </si>
  <si>
    <t>Tab_3_2_1</t>
  </si>
  <si>
    <t>Tab_3_2_2</t>
  </si>
  <si>
    <t>Tab_3_2_3</t>
  </si>
  <si>
    <t>3.3 Personen mit ausländerrechtlichen Bewilligungen</t>
  </si>
  <si>
    <t>Tab_3_3_1</t>
  </si>
  <si>
    <t>Tab_3_3_2</t>
  </si>
  <si>
    <t>Tab_3_3_3</t>
  </si>
  <si>
    <t>Tab_3_3_4</t>
  </si>
  <si>
    <t>Tab_3_3_5</t>
  </si>
  <si>
    <t>Tab_3_3_6</t>
  </si>
  <si>
    <t>Tab_3_3_7</t>
  </si>
  <si>
    <t>Tab_3_3_8</t>
  </si>
  <si>
    <t>Tab_3_3_9</t>
  </si>
  <si>
    <t>Tab_3_3_10</t>
  </si>
  <si>
    <t>Tab_3_3_11</t>
  </si>
  <si>
    <t>Tab_3_3_12</t>
  </si>
  <si>
    <t>4 Nichtständige Bevölkerung - 4.1 Gesamt (bis 12 Monate in Liechtenstein)</t>
  </si>
  <si>
    <t>Nichtständige Bevölkerung nach Bewilligungskategorien, Staatsbürgerschaft und Wohngemeinde</t>
  </si>
  <si>
    <t>Tab_4_1_1</t>
  </si>
  <si>
    <t>Tab_4_1_2</t>
  </si>
  <si>
    <t>4.2 Personen mit Kurzaufenthaltsstatus (bis 12 Monate in Liechtenstein)</t>
  </si>
  <si>
    <t>Tab_4_2_1</t>
  </si>
  <si>
    <t>Tab_4_2_2</t>
  </si>
  <si>
    <t>4.3 Personen im Asylprozess  (bis 12 Monate in Liechtenstein)</t>
  </si>
  <si>
    <t>Tab_4_3_1</t>
  </si>
  <si>
    <t>Tab_4_3_2</t>
  </si>
  <si>
    <t>Tab_5_1</t>
  </si>
  <si>
    <t>Tab_5_2</t>
  </si>
  <si>
    <t>Tab_5_3</t>
  </si>
  <si>
    <t>Tab_5_4</t>
  </si>
  <si>
    <t>Tab_5_5</t>
  </si>
  <si>
    <t>Tab_5_6</t>
  </si>
  <si>
    <t>Tab_5_7</t>
  </si>
  <si>
    <t>Tab_5_8</t>
  </si>
  <si>
    <t>Tab_5_9</t>
  </si>
  <si>
    <t>Tab_5_11</t>
  </si>
  <si>
    <t>Tab_5_12</t>
  </si>
  <si>
    <t>Tab_5_13_1</t>
  </si>
  <si>
    <t>Tab_5_13_2</t>
  </si>
  <si>
    <t>Tab_5_14</t>
  </si>
  <si>
    <t>Tab_5_15</t>
  </si>
  <si>
    <t>Liechtensteinische Bürger nach Wohn- und Heimatgemeinde seit 1990</t>
  </si>
  <si>
    <t>Tab_5_16</t>
  </si>
  <si>
    <t>Tab_5_17</t>
  </si>
  <si>
    <t>Tab_5_18</t>
  </si>
  <si>
    <t>Bevölkerungsstatistik 31. Dezember 2019</t>
  </si>
  <si>
    <t>Total (Wohngemeinde Vaduz)</t>
  </si>
  <si>
    <t>Eine Person ist in Schaan wohnhaft.</t>
  </si>
  <si>
    <t xml:space="preserve">Asylbewerber, Schutzbedürftige, vorläufig Aufgenommene nach Staatsbürgerschaft und Geschlecht </t>
  </si>
  <si>
    <t>Asylbewerber, Schutzbedürftige, vorläufig Aufgenommene nach Arbeitsland, Wirtschaftszweig und Geschlecht</t>
  </si>
  <si>
    <r>
      <t>Anteil</t>
    </r>
    <r>
      <rPr>
        <sz val="12"/>
        <rFont val="Arial"/>
        <family val="2"/>
      </rPr>
      <t xml:space="preserve"> Ausländer (3.) an ständiger Bevölkerung (1.)</t>
    </r>
  </si>
  <si>
    <r>
      <t xml:space="preserve">Anteil </t>
    </r>
    <r>
      <rPr>
        <sz val="12"/>
        <rFont val="Arial"/>
        <family val="2"/>
      </rPr>
      <t>EWR (10.) an ständiger Bevölkerung (1.)</t>
    </r>
  </si>
  <si>
    <r>
      <t>Anteil</t>
    </r>
    <r>
      <rPr>
        <sz val="12"/>
        <rFont val="Arial"/>
        <family val="2"/>
      </rPr>
      <t xml:space="preserve"> EWR (10.) an Ausländer (3.)</t>
    </r>
  </si>
  <si>
    <r>
      <t>Anteil</t>
    </r>
    <r>
      <rPr>
        <sz val="12"/>
        <rFont val="Arial"/>
        <family val="2"/>
      </rPr>
      <t xml:space="preserve"> Ausländer (17.) an Erwerbstätige (13.)</t>
    </r>
  </si>
  <si>
    <r>
      <t>Anteil</t>
    </r>
    <r>
      <rPr>
        <sz val="12"/>
        <rFont val="Arial"/>
        <family val="2"/>
      </rPr>
      <t xml:space="preserve"> EWR (21.) an Erwerbstätige (13.)</t>
    </r>
  </si>
  <si>
    <r>
      <t>Anteil</t>
    </r>
    <r>
      <rPr>
        <sz val="12"/>
        <rFont val="Arial"/>
        <family val="2"/>
      </rPr>
      <t xml:space="preserve"> EWR (21.) an Ausländer (17.)</t>
    </r>
  </si>
  <si>
    <r>
      <t>Anteil</t>
    </r>
    <r>
      <rPr>
        <sz val="12"/>
        <rFont val="Arial"/>
        <family val="2"/>
      </rPr>
      <t xml:space="preserve"> Ausländer (35.) an Nichterwerbstätige (33.)</t>
    </r>
  </si>
  <si>
    <r>
      <t>Anteil</t>
    </r>
    <r>
      <rPr>
        <sz val="12"/>
        <rFont val="Arial"/>
        <family val="2"/>
      </rPr>
      <t xml:space="preserve"> EWR (36.) an Nichterwerbstätige (33.)</t>
    </r>
  </si>
  <si>
    <r>
      <t>Anteil</t>
    </r>
    <r>
      <rPr>
        <sz val="12"/>
        <rFont val="Arial"/>
        <family val="2"/>
      </rPr>
      <t xml:space="preserve"> EWR (36.) an Ausländer (35.)</t>
    </r>
  </si>
  <si>
    <t>Tabelle 1</t>
  </si>
  <si>
    <t>© Amt für Statistik am 30 September 2020 / Bevölkerungsstatistik 2019</t>
  </si>
  <si>
    <t>Tabelle 2.1.5</t>
  </si>
  <si>
    <t>Tabelle 2.1.6</t>
  </si>
  <si>
    <t>Tabelle 2.1.7</t>
  </si>
  <si>
    <t>Tabelle 3.1.5</t>
  </si>
  <si>
    <t>Tabelle 4.2.1</t>
  </si>
  <si>
    <t>Tabelle 4.2.2</t>
  </si>
  <si>
    <t>Tabelle 4.3.1</t>
  </si>
  <si>
    <t>Andere Gemeinden: Aufgrund möglicher Rückschlüsse wird bei weniger als drei Personen die Kategorie "andere Wohngemeinde" verwendet.</t>
  </si>
  <si>
    <t>andere Wohngemeinde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</si>
</sst>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_ ;\-0\ "/>
    <numFmt numFmtId="165" formatCode="0.0%"/>
    <numFmt numFmtId="166" formatCode="0.0"/>
    <numFmt numFmtId="167" formatCode="_ * #,##0.00_ ;_ * \-#,##0.00_ ;_ * &quot;-&quot;_ ;_ @_ "/>
    <numFmt numFmtId="168" formatCode="_ * #,##0_ ;_ * \-#,##0_ ;_ * &quot;-&quot;??_ ;_ @_ "/>
    <numFmt numFmtId="169" formatCode="_ [$€-2]\ * #,##0.00_ ;_ [$€-2]\ * \-#,##0.00_ ;_ [$€-2]\ * &quot;-&quot;??_ "/>
    <numFmt numFmtId="170" formatCode="#,##0_ ;\-#,##0\ "/>
    <numFmt numFmtId="171" formatCode="0.000"/>
    <numFmt numFmtId="172" formatCode="#####################################0"/>
    <numFmt numFmtId="173" formatCode="#,###,###,##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,##0.0"/>
    <numFmt numFmtId="179" formatCode="##########0.0%"/>
    <numFmt numFmtId="180" formatCode="#######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/yyyy"/>
    <numFmt numFmtId="186" formatCode="############0"/>
    <numFmt numFmtId="187" formatCode="#0.00"/>
    <numFmt numFmtId="188" formatCode="###########0.0%"/>
    <numFmt numFmtId="189" formatCode="#########0.0%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_ * ###0_ ;_ * \-###0_ ;_ * &quot;-&quot;_ ;_ @_ "/>
    <numFmt numFmtId="193" formatCode="#,##0.##########"/>
    <numFmt numFmtId="194" formatCode="[$-807]dddd\,\ d\.\ mmmm\ yyyy"/>
    <numFmt numFmtId="195" formatCode="_ * #,##0.0_ ;_ * \-#,##0.0_ ;_ * &quot;-&quot;?_ ;_ @_ "/>
    <numFmt numFmtId="196" formatCode="0.0%\ "/>
    <numFmt numFmtId="197" formatCode="#,##0\ \ "/>
    <numFmt numFmtId="198" formatCode="#\ ##0"/>
    <numFmt numFmtId="199" formatCode="0%\ "/>
    <numFmt numFmtId="200" formatCode="0.0_ ;\-0.0\ "/>
    <numFmt numFmtId="201" formatCode="###0\ ;\-###0;&quot;-&quot;;@_ "/>
  </numFmts>
  <fonts count="128">
    <font>
      <sz val="10"/>
      <name val="Arial"/>
      <family val="0"/>
    </font>
    <font>
      <sz val="11"/>
      <color indexed="8"/>
      <name val="Frutiger LT Pro 55 Standard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1"/>
      <color indexed="9"/>
      <name val="Frutiger LT Pro 55 Standard"/>
      <family val="2"/>
    </font>
    <font>
      <sz val="11"/>
      <color indexed="9"/>
      <name val="Calibri"/>
      <family val="2"/>
    </font>
    <font>
      <b/>
      <sz val="11"/>
      <color indexed="63"/>
      <name val="Frutiger LT Pro 55 Standard"/>
      <family val="2"/>
    </font>
    <font>
      <b/>
      <sz val="11"/>
      <color indexed="63"/>
      <name val="Calibri"/>
      <family val="2"/>
    </font>
    <font>
      <b/>
      <sz val="11"/>
      <color indexed="52"/>
      <name val="Frutiger LT Pro 55 Standard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2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Frutiger LT Pro 55 Standard"/>
      <family val="2"/>
    </font>
    <font>
      <sz val="11"/>
      <color indexed="62"/>
      <name val="Calibri"/>
      <family val="2"/>
    </font>
    <font>
      <b/>
      <sz val="11"/>
      <color indexed="8"/>
      <name val="Frutiger LT Pro 55 Standard"/>
      <family val="2"/>
    </font>
    <font>
      <b/>
      <sz val="11"/>
      <color indexed="8"/>
      <name val="Calibri"/>
      <family val="2"/>
    </font>
    <font>
      <i/>
      <sz val="11"/>
      <color indexed="23"/>
      <name val="Frutiger LT Pro 55 Standard"/>
      <family val="2"/>
    </font>
    <font>
      <i/>
      <sz val="11"/>
      <color indexed="23"/>
      <name val="Calibri"/>
      <family val="2"/>
    </font>
    <font>
      <sz val="11"/>
      <color indexed="17"/>
      <name val="Frutiger LT Pro 55 Standard"/>
      <family val="2"/>
    </font>
    <font>
      <sz val="11"/>
      <color indexed="17"/>
      <name val="Calibri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60"/>
      <name val="Calibri"/>
      <family val="2"/>
    </font>
    <font>
      <sz val="11"/>
      <color indexed="20"/>
      <name val="Frutiger LT Pro 55 Standard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Frutiger LT Pro 55 Standard"/>
      <family val="2"/>
    </font>
    <font>
      <b/>
      <sz val="15"/>
      <color indexed="62"/>
      <name val="Calibri"/>
      <family val="2"/>
    </font>
    <font>
      <b/>
      <sz val="13"/>
      <color indexed="62"/>
      <name val="Frutiger LT Pro 55 Standard"/>
      <family val="2"/>
    </font>
    <font>
      <b/>
      <sz val="13"/>
      <color indexed="62"/>
      <name val="Calibri"/>
      <family val="2"/>
    </font>
    <font>
      <b/>
      <sz val="11"/>
      <color indexed="62"/>
      <name val="Frutiger LT Pro 55 Standard"/>
      <family val="2"/>
    </font>
    <font>
      <b/>
      <sz val="11"/>
      <color indexed="62"/>
      <name val="Calibri"/>
      <family val="2"/>
    </font>
    <font>
      <sz val="11"/>
      <color indexed="52"/>
      <name val="Frutiger LT Pro 55 Standard"/>
      <family val="2"/>
    </font>
    <font>
      <sz val="11"/>
      <color indexed="52"/>
      <name val="Calibri"/>
      <family val="2"/>
    </font>
    <font>
      <sz val="11"/>
      <color indexed="10"/>
      <name val="Frutiger LT Pro 55 Standard"/>
      <family val="2"/>
    </font>
    <font>
      <sz val="11"/>
      <color indexed="10"/>
      <name val="Calibri"/>
      <family val="2"/>
    </font>
    <font>
      <b/>
      <sz val="11"/>
      <color indexed="9"/>
      <name val="Frutiger LT Pro 55 Standard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color indexed="23"/>
      <name val="Arial"/>
      <family val="2"/>
    </font>
    <font>
      <sz val="12"/>
      <color indexed="22"/>
      <name val="Arial"/>
      <family val="2"/>
    </font>
    <font>
      <b/>
      <sz val="14"/>
      <color indexed="8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</font>
    <font>
      <sz val="11"/>
      <color theme="0"/>
      <name val="Frutiger LT Pro 55 Standard"/>
      <family val="2"/>
    </font>
    <font>
      <sz val="11"/>
      <color theme="0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80008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Frutiger LT Pro 55 Standard"/>
      <family val="2"/>
    </font>
    <font>
      <u val="single"/>
      <sz val="11"/>
      <color rgb="FF0000FF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2"/>
      <color theme="0" tint="-0.4999699890613556"/>
      <name val="Arial"/>
      <family val="2"/>
    </font>
    <font>
      <sz val="12"/>
      <color theme="0" tint="-0.1499900072813034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B6DAF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medium">
        <color rgb="FFC1C1C1"/>
      </left>
      <right/>
      <top/>
      <bottom/>
    </border>
    <border>
      <left/>
      <right/>
      <top/>
      <bottom style="medium">
        <color theme="0" tint="-0.4999699890613556"/>
      </bottom>
    </border>
    <border>
      <left/>
      <right/>
      <top style="medium">
        <color rgb="FFC1C1C1"/>
      </top>
      <bottom/>
    </border>
    <border>
      <left style="medium">
        <color rgb="FFC1C1C1"/>
      </left>
      <right>
        <color indexed="63"/>
      </right>
      <top/>
      <bottom style="medium">
        <color theme="0" tint="-0.4999699890613556"/>
      </bottom>
    </border>
    <border>
      <left style="thin">
        <color theme="0" tint="-0.4999699890613556"/>
      </left>
      <right/>
      <top>
        <color indexed="63"/>
      </top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/>
      <top style="medium">
        <color rgb="FFC1C1C1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1C1C1"/>
      </bottom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3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3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0" borderId="0" applyNumberFormat="0" applyBorder="0" applyAlignment="0" applyProtection="0"/>
    <xf numFmtId="0" fontId="83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3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4" fillId="44" borderId="1" applyNumberFormat="0" applyAlignment="0" applyProtection="0"/>
    <xf numFmtId="0" fontId="84" fillId="44" borderId="1" applyNumberFormat="0" applyAlignment="0" applyProtection="0"/>
    <xf numFmtId="0" fontId="85" fillId="44" borderId="1" applyNumberFormat="0" applyAlignment="0" applyProtection="0"/>
    <xf numFmtId="0" fontId="16" fillId="9" borderId="0" applyNumberFormat="0" applyBorder="0" applyAlignment="0" applyProtection="0"/>
    <xf numFmtId="0" fontId="86" fillId="44" borderId="2" applyNumberFormat="0" applyAlignment="0" applyProtection="0"/>
    <xf numFmtId="0" fontId="86" fillId="44" borderId="2" applyNumberFormat="0" applyAlignment="0" applyProtection="0"/>
    <xf numFmtId="0" fontId="87" fillId="44" borderId="2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45" borderId="3" applyNumberFormat="0" applyAlignment="0" applyProtection="0"/>
    <xf numFmtId="0" fontId="18" fillId="46" borderId="4" applyNumberFormat="0" applyAlignment="0" applyProtection="0"/>
    <xf numFmtId="41" fontId="0" fillId="0" borderId="0" applyFont="0" applyFill="0" applyBorder="0" applyAlignment="0" applyProtection="0"/>
    <xf numFmtId="0" fontId="91" fillId="47" borderId="2" applyNumberFormat="0" applyAlignment="0" applyProtection="0"/>
    <xf numFmtId="0" fontId="91" fillId="47" borderId="2" applyNumberFormat="0" applyAlignment="0" applyProtection="0"/>
    <xf numFmtId="0" fontId="92" fillId="47" borderId="2" applyNumberFormat="0" applyAlignment="0" applyProtection="0"/>
    <xf numFmtId="0" fontId="92" fillId="47" borderId="2" applyNumberFormat="0" applyAlignment="0" applyProtection="0"/>
    <xf numFmtId="0" fontId="93" fillId="0" borderId="5" applyNumberFormat="0" applyFill="0" applyAlignment="0" applyProtection="0"/>
    <xf numFmtId="0" fontId="93" fillId="0" borderId="5" applyNumberFormat="0" applyFill="0" applyAlignment="0" applyProtection="0"/>
    <xf numFmtId="0" fontId="94" fillId="0" borderId="5" applyNumberFormat="0" applyFill="0" applyAlignment="0" applyProtection="0"/>
    <xf numFmtId="0" fontId="94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97" fillId="48" borderId="0" applyNumberFormat="0" applyBorder="0" applyAlignment="0" applyProtection="0"/>
    <xf numFmtId="0" fontId="97" fillId="48" borderId="0" applyNumberFormat="0" applyBorder="0" applyAlignment="0" applyProtection="0"/>
    <xf numFmtId="0" fontId="98" fillId="48" borderId="0" applyNumberFormat="0" applyBorder="0" applyAlignment="0" applyProtection="0"/>
    <xf numFmtId="0" fontId="98" fillId="48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4" fillId="13" borderId="3" applyNumberFormat="0" applyAlignment="0" applyProtection="0"/>
    <xf numFmtId="43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103" fillId="49" borderId="0" applyNumberFormat="0" applyBorder="0" applyAlignment="0" applyProtection="0"/>
    <xf numFmtId="0" fontId="103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26" fillId="50" borderId="0" applyNumberFormat="0" applyBorder="0" applyAlignment="0" applyProtection="0"/>
    <xf numFmtId="0" fontId="0" fillId="51" borderId="10" applyNumberFormat="0" applyFont="0" applyAlignment="0" applyProtection="0"/>
    <xf numFmtId="0" fontId="0" fillId="51" borderId="10" applyNumberFormat="0" applyFont="0" applyAlignment="0" applyProtection="0"/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80" fillId="52" borderId="11" applyNumberFormat="0" applyFont="0" applyAlignment="0" applyProtection="0"/>
    <xf numFmtId="0" fontId="9" fillId="52" borderId="11" applyNumberFormat="0" applyFont="0" applyAlignment="0" applyProtection="0"/>
    <xf numFmtId="0" fontId="81" fillId="52" borderId="11" applyNumberFormat="0" applyFont="0" applyAlignment="0" applyProtection="0"/>
    <xf numFmtId="0" fontId="27" fillId="45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5" fillId="53" borderId="0" applyNumberFormat="0" applyBorder="0" applyAlignment="0" applyProtection="0"/>
    <xf numFmtId="0" fontId="105" fillId="53" borderId="0" applyNumberFormat="0" applyBorder="0" applyAlignment="0" applyProtection="0"/>
    <xf numFmtId="0" fontId="106" fillId="53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4" applyNumberFormat="0" applyFill="0" applyAlignment="0" applyProtection="0"/>
    <xf numFmtId="0" fontId="108" fillId="0" borderId="14" applyNumberFormat="0" applyFill="0" applyAlignment="0" applyProtection="0"/>
    <xf numFmtId="0" fontId="109" fillId="0" borderId="14" applyNumberFormat="0" applyFill="0" applyAlignment="0" applyProtection="0"/>
    <xf numFmtId="0" fontId="109" fillId="0" borderId="14" applyNumberFormat="0" applyFill="0" applyAlignment="0" applyProtection="0"/>
    <xf numFmtId="0" fontId="110" fillId="0" borderId="15" applyNumberFormat="0" applyFill="0" applyAlignment="0" applyProtection="0"/>
    <xf numFmtId="0" fontId="110" fillId="0" borderId="15" applyNumberFormat="0" applyFill="0" applyAlignment="0" applyProtection="0"/>
    <xf numFmtId="0" fontId="111" fillId="0" borderId="15" applyNumberFormat="0" applyFill="0" applyAlignment="0" applyProtection="0"/>
    <xf numFmtId="0" fontId="111" fillId="0" borderId="15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3" fillId="0" borderId="16" applyNumberFormat="0" applyFill="0" applyAlignment="0" applyProtection="0"/>
    <xf numFmtId="0" fontId="113" fillId="0" borderId="16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8" fillId="54" borderId="18" applyNumberFormat="0" applyAlignment="0" applyProtection="0"/>
    <xf numFmtId="0" fontId="118" fillId="54" borderId="18" applyNumberFormat="0" applyAlignment="0" applyProtection="0"/>
    <xf numFmtId="0" fontId="119" fillId="54" borderId="18" applyNumberFormat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120" fillId="55" borderId="0" xfId="208" applyFont="1" applyFill="1" applyAlignment="1">
      <alignment horizontal="left" vertical="top"/>
      <protection/>
    </xf>
    <xf numFmtId="0" fontId="6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 quotePrefix="1">
      <alignment horizontal="right" vertical="top"/>
    </xf>
    <xf numFmtId="14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1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164" fontId="6" fillId="0" borderId="0" xfId="0" applyNumberFormat="1" applyFont="1" applyFill="1" applyBorder="1" applyAlignment="1">
      <alignment/>
    </xf>
    <xf numFmtId="165" fontId="13" fillId="0" borderId="0" xfId="194" applyNumberFormat="1" applyFont="1" applyFill="1" applyBorder="1" applyAlignment="1">
      <alignment/>
    </xf>
    <xf numFmtId="0" fontId="13" fillId="0" borderId="0" xfId="0" applyFont="1" applyFill="1" applyAlignment="1">
      <alignment horizontal="left" indent="2"/>
    </xf>
    <xf numFmtId="165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wrapText="1"/>
    </xf>
    <xf numFmtId="167" fontId="6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0" fontId="74" fillId="0" borderId="0" xfId="0" applyFont="1" applyAlignment="1">
      <alignment horizontal="left"/>
    </xf>
    <xf numFmtId="0" fontId="6" fillId="56" borderId="0" xfId="0" applyFont="1" applyFill="1" applyAlignment="1">
      <alignment/>
    </xf>
    <xf numFmtId="0" fontId="6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2" fillId="0" borderId="0" xfId="166" applyFont="1" applyAlignment="1">
      <alignment horizontal="right"/>
    </xf>
    <xf numFmtId="0" fontId="6" fillId="0" borderId="0" xfId="0" applyFont="1" applyAlignment="1">
      <alignment horizontal="right"/>
    </xf>
    <xf numFmtId="0" fontId="121" fillId="0" borderId="0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203" applyFont="1" applyFill="1">
      <alignment/>
      <protection/>
    </xf>
    <xf numFmtId="192" fontId="123" fillId="0" borderId="0" xfId="0" applyNumberFormat="1" applyFont="1" applyFill="1" applyBorder="1" applyAlignment="1">
      <alignment vertical="top"/>
    </xf>
    <xf numFmtId="0" fontId="123" fillId="0" borderId="0" xfId="208" applyFont="1" applyFill="1" applyAlignment="1">
      <alignment horizontal="left" vertical="top"/>
      <protection/>
    </xf>
    <xf numFmtId="192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4" fillId="0" borderId="22" xfId="208" applyFont="1" applyFill="1" applyBorder="1" applyAlignment="1">
      <alignment vertical="top" wrapText="1"/>
      <protection/>
    </xf>
    <xf numFmtId="192" fontId="123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0" fontId="123" fillId="0" borderId="0" xfId="0" applyFont="1" applyFill="1" applyAlignment="1">
      <alignment horizontal="left" vertical="top"/>
    </xf>
    <xf numFmtId="0" fontId="12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124" fillId="0" borderId="0" xfId="0" applyFont="1" applyFill="1" applyAlignment="1">
      <alignment horizontal="left" vertical="top"/>
    </xf>
    <xf numFmtId="0" fontId="124" fillId="0" borderId="22" xfId="0" applyFont="1" applyFill="1" applyBorder="1" applyAlignment="1">
      <alignment horizontal="left" vertical="top"/>
    </xf>
    <xf numFmtId="0" fontId="124" fillId="0" borderId="0" xfId="0" applyFont="1" applyFill="1" applyBorder="1" applyAlignment="1">
      <alignment horizontal="left" vertical="top"/>
    </xf>
    <xf numFmtId="0" fontId="6" fillId="0" borderId="0" xfId="203" applyFont="1" applyFill="1" applyAlignment="1">
      <alignment vertical="top"/>
      <protection/>
    </xf>
    <xf numFmtId="0" fontId="6" fillId="0" borderId="23" xfId="203" applyFont="1" applyFill="1" applyBorder="1" applyAlignment="1">
      <alignment vertical="top"/>
      <protection/>
    </xf>
    <xf numFmtId="192" fontId="123" fillId="0" borderId="23" xfId="0" applyNumberFormat="1" applyFont="1" applyFill="1" applyBorder="1" applyAlignment="1">
      <alignment vertical="top"/>
    </xf>
    <xf numFmtId="0" fontId="6" fillId="0" borderId="23" xfId="203" applyFont="1" applyFill="1" applyBorder="1">
      <alignment/>
      <protection/>
    </xf>
    <xf numFmtId="192" fontId="120" fillId="0" borderId="0" xfId="0" applyNumberFormat="1" applyFont="1" applyFill="1" applyBorder="1" applyAlignment="1">
      <alignment/>
    </xf>
    <xf numFmtId="0" fontId="124" fillId="0" borderId="0" xfId="0" applyFont="1" applyFill="1" applyAlignment="1">
      <alignment horizontal="left" vertical="top" wrapText="1"/>
    </xf>
    <xf numFmtId="192" fontId="123" fillId="0" borderId="0" xfId="0" applyNumberFormat="1" applyFont="1" applyFill="1" applyBorder="1" applyAlignment="1">
      <alignment/>
    </xf>
    <xf numFmtId="0" fontId="124" fillId="0" borderId="0" xfId="0" applyFont="1" applyFill="1" applyBorder="1" applyAlignment="1">
      <alignment horizontal="left" vertical="top" wrapText="1"/>
    </xf>
    <xf numFmtId="192" fontId="123" fillId="0" borderId="23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 indent="1"/>
    </xf>
    <xf numFmtId="164" fontId="6" fillId="0" borderId="23" xfId="0" applyNumberFormat="1" applyFont="1" applyFill="1" applyBorder="1" applyAlignment="1">
      <alignment/>
    </xf>
    <xf numFmtId="0" fontId="4" fillId="0" borderId="0" xfId="203" applyFont="1" applyFill="1">
      <alignment/>
      <protection/>
    </xf>
    <xf numFmtId="192" fontId="123" fillId="0" borderId="0" xfId="0" applyNumberFormat="1" applyFont="1" applyFill="1" applyBorder="1" applyAlignment="1">
      <alignment horizontal="left" vertical="top" wrapText="1"/>
    </xf>
    <xf numFmtId="192" fontId="123" fillId="0" borderId="23" xfId="0" applyNumberFormat="1" applyFont="1" applyFill="1" applyBorder="1" applyAlignment="1">
      <alignment horizontal="left" vertical="top" wrapText="1"/>
    </xf>
    <xf numFmtId="192" fontId="124" fillId="0" borderId="0" xfId="0" applyNumberFormat="1" applyFont="1" applyFill="1" applyBorder="1" applyAlignment="1">
      <alignment horizontal="left" vertical="top" wrapText="1"/>
    </xf>
    <xf numFmtId="192" fontId="124" fillId="0" borderId="23" xfId="0" applyNumberFormat="1" applyFont="1" applyFill="1" applyBorder="1" applyAlignment="1">
      <alignment horizontal="left" vertical="top" wrapText="1"/>
    </xf>
    <xf numFmtId="192" fontId="124" fillId="0" borderId="0" xfId="0" applyNumberFormat="1" applyFont="1" applyFill="1" applyBorder="1" applyAlignment="1">
      <alignment vertical="top"/>
    </xf>
    <xf numFmtId="192" fontId="124" fillId="0" borderId="23" xfId="0" applyNumberFormat="1" applyFont="1" applyFill="1" applyBorder="1" applyAlignment="1">
      <alignment vertical="top"/>
    </xf>
    <xf numFmtId="192" fontId="124" fillId="0" borderId="0" xfId="0" applyNumberFormat="1" applyFont="1" applyFill="1" applyBorder="1" applyAlignment="1">
      <alignment horizontal="right" vertical="top"/>
    </xf>
    <xf numFmtId="0" fontId="4" fillId="0" borderId="0" xfId="203" applyFont="1" applyFill="1" applyAlignment="1">
      <alignment vertical="top"/>
      <protection/>
    </xf>
    <xf numFmtId="192" fontId="124" fillId="0" borderId="0" xfId="0" applyNumberFormat="1" applyFont="1" applyFill="1" applyBorder="1" applyAlignment="1">
      <alignment/>
    </xf>
    <xf numFmtId="192" fontId="123" fillId="0" borderId="0" xfId="0" applyNumberFormat="1" applyFont="1" applyFill="1" applyBorder="1" applyAlignment="1">
      <alignment horizontal="left" vertical="top"/>
    </xf>
    <xf numFmtId="192" fontId="124" fillId="0" borderId="0" xfId="0" applyNumberFormat="1" applyFont="1" applyFill="1" applyBorder="1" applyAlignment="1">
      <alignment horizontal="left" vertical="top"/>
    </xf>
    <xf numFmtId="192" fontId="124" fillId="0" borderId="23" xfId="0" applyNumberFormat="1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/>
    </xf>
    <xf numFmtId="192" fontId="124" fillId="0" borderId="23" xfId="0" applyNumberFormat="1" applyFont="1" applyFill="1" applyBorder="1" applyAlignment="1">
      <alignment horizontal="right" vertical="top"/>
    </xf>
    <xf numFmtId="0" fontId="30" fillId="0" borderId="23" xfId="0" applyFont="1" applyFill="1" applyBorder="1" applyAlignment="1">
      <alignment/>
    </xf>
    <xf numFmtId="192" fontId="123" fillId="0" borderId="23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123" fillId="0" borderId="0" xfId="208" applyFont="1" applyFill="1" applyAlignment="1">
      <alignment vertical="top"/>
      <protection/>
    </xf>
    <xf numFmtId="0" fontId="124" fillId="0" borderId="24" xfId="208" applyFont="1" applyFill="1" applyBorder="1" applyAlignment="1">
      <alignment vertical="top"/>
      <protection/>
    </xf>
    <xf numFmtId="0" fontId="124" fillId="0" borderId="0" xfId="208" applyFont="1" applyFill="1" applyAlignment="1">
      <alignment vertical="top"/>
      <protection/>
    </xf>
    <xf numFmtId="0" fontId="124" fillId="0" borderId="0" xfId="208" applyFont="1" applyFill="1" applyBorder="1" applyAlignment="1">
      <alignment vertical="top"/>
      <protection/>
    </xf>
    <xf numFmtId="0" fontId="124" fillId="0" borderId="22" xfId="208" applyFont="1" applyFill="1" applyBorder="1" applyAlignment="1">
      <alignment vertical="top"/>
      <protection/>
    </xf>
    <xf numFmtId="0" fontId="124" fillId="0" borderId="0" xfId="206" applyFont="1" applyFill="1" applyBorder="1" applyAlignment="1">
      <alignment vertical="top" wrapText="1"/>
      <protection/>
    </xf>
    <xf numFmtId="0" fontId="123" fillId="0" borderId="0" xfId="206" applyFont="1" applyFill="1" applyBorder="1" applyAlignment="1">
      <alignment vertical="top" wrapText="1"/>
      <protection/>
    </xf>
    <xf numFmtId="41" fontId="124" fillId="0" borderId="0" xfId="206" applyNumberFormat="1" applyFont="1" applyFill="1" applyBorder="1" applyAlignment="1">
      <alignment vertical="top" wrapText="1"/>
      <protection/>
    </xf>
    <xf numFmtId="41" fontId="123" fillId="0" borderId="0" xfId="206" applyNumberFormat="1" applyFont="1" applyFill="1" applyBorder="1" applyAlignment="1">
      <alignment vertical="top" wrapText="1"/>
      <protection/>
    </xf>
    <xf numFmtId="0" fontId="123" fillId="0" borderId="23" xfId="206" applyFont="1" applyFill="1" applyBorder="1" applyAlignment="1">
      <alignment vertical="top" wrapText="1"/>
      <protection/>
    </xf>
    <xf numFmtId="41" fontId="123" fillId="0" borderId="23" xfId="206" applyNumberFormat="1" applyFont="1" applyFill="1" applyBorder="1" applyAlignment="1">
      <alignment vertical="top" wrapText="1"/>
      <protection/>
    </xf>
    <xf numFmtId="0" fontId="123" fillId="0" borderId="23" xfId="208" applyFont="1" applyFill="1" applyBorder="1" applyAlignment="1">
      <alignment vertical="top"/>
      <protection/>
    </xf>
    <xf numFmtId="0" fontId="123" fillId="0" borderId="22" xfId="208" applyFont="1" applyFill="1" applyBorder="1" applyAlignment="1">
      <alignment vertical="top"/>
      <protection/>
    </xf>
    <xf numFmtId="0" fontId="124" fillId="0" borderId="25" xfId="208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123" fillId="0" borderId="0" xfId="208" applyFont="1" applyFill="1" applyAlignment="1">
      <alignment horizontal="right" vertical="top"/>
      <protection/>
    </xf>
    <xf numFmtId="0" fontId="123" fillId="0" borderId="0" xfId="208" applyFont="1" applyFill="1" applyBorder="1" applyAlignment="1">
      <alignment horizontal="left" vertical="top"/>
      <protection/>
    </xf>
    <xf numFmtId="0" fontId="123" fillId="0" borderId="0" xfId="208" applyFont="1" applyFill="1" applyBorder="1" applyAlignment="1">
      <alignment vertical="top"/>
      <protection/>
    </xf>
    <xf numFmtId="0" fontId="124" fillId="0" borderId="0" xfId="0" applyFont="1" applyFill="1" applyBorder="1" applyAlignment="1">
      <alignment vertical="top"/>
    </xf>
    <xf numFmtId="0" fontId="124" fillId="0" borderId="0" xfId="0" applyFont="1" applyFill="1" applyAlignment="1">
      <alignment vertical="top"/>
    </xf>
    <xf numFmtId="0" fontId="124" fillId="0" borderId="22" xfId="0" applyFont="1" applyFill="1" applyBorder="1" applyAlignment="1">
      <alignment vertical="top"/>
    </xf>
    <xf numFmtId="0" fontId="123" fillId="0" borderId="0" xfId="0" applyFont="1" applyFill="1" applyAlignment="1">
      <alignment vertical="top"/>
    </xf>
    <xf numFmtId="41" fontId="123" fillId="0" borderId="0" xfId="0" applyNumberFormat="1" applyFont="1" applyFill="1" applyAlignment="1">
      <alignment vertical="top"/>
    </xf>
    <xf numFmtId="0" fontId="123" fillId="0" borderId="22" xfId="0" applyFont="1" applyFill="1" applyBorder="1" applyAlignment="1">
      <alignment vertical="top"/>
    </xf>
    <xf numFmtId="0" fontId="124" fillId="0" borderId="25" xfId="0" applyFont="1" applyFill="1" applyBorder="1" applyAlignment="1">
      <alignment vertical="top"/>
    </xf>
    <xf numFmtId="0" fontId="124" fillId="0" borderId="23" xfId="0" applyFont="1" applyFill="1" applyBorder="1" applyAlignment="1">
      <alignment vertical="top"/>
    </xf>
    <xf numFmtId="0" fontId="123" fillId="0" borderId="22" xfId="0" applyFont="1" applyFill="1" applyBorder="1" applyAlignment="1">
      <alignment horizontal="left" vertical="top"/>
    </xf>
    <xf numFmtId="0" fontId="124" fillId="0" borderId="2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124" fillId="0" borderId="22" xfId="0" applyFont="1" applyFill="1" applyBorder="1" applyAlignment="1">
      <alignment horizontal="left" vertical="top" wrapText="1"/>
    </xf>
    <xf numFmtId="0" fontId="123" fillId="0" borderId="0" xfId="0" applyFont="1" applyFill="1" applyAlignment="1">
      <alignment horizontal="left" vertical="top" wrapText="1"/>
    </xf>
    <xf numFmtId="0" fontId="123" fillId="0" borderId="22" xfId="0" applyFont="1" applyFill="1" applyBorder="1" applyAlignment="1">
      <alignment horizontal="left" vertical="top" wrapText="1"/>
    </xf>
    <xf numFmtId="0" fontId="123" fillId="0" borderId="23" xfId="0" applyFont="1" applyFill="1" applyBorder="1" applyAlignment="1">
      <alignment horizontal="left" vertical="top" wrapText="1"/>
    </xf>
    <xf numFmtId="0" fontId="124" fillId="0" borderId="25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120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123" fillId="0" borderId="0" xfId="0" applyFont="1" applyFill="1" applyAlignment="1">
      <alignment vertical="top" wrapText="1"/>
    </xf>
    <xf numFmtId="0" fontId="123" fillId="0" borderId="23" xfId="0" applyFont="1" applyFill="1" applyBorder="1" applyAlignment="1">
      <alignment horizontal="left" vertical="top"/>
    </xf>
    <xf numFmtId="0" fontId="123" fillId="0" borderId="26" xfId="208" applyFont="1" applyFill="1" applyBorder="1" applyAlignment="1">
      <alignment vertical="top"/>
      <protection/>
    </xf>
    <xf numFmtId="0" fontId="120" fillId="0" borderId="0" xfId="208" applyFont="1" applyFill="1" applyAlignment="1">
      <alignment horizontal="left" vertical="top"/>
      <protection/>
    </xf>
    <xf numFmtId="165" fontId="123" fillId="0" borderId="0" xfId="208" applyNumberFormat="1" applyFont="1" applyFill="1" applyBorder="1" applyAlignment="1">
      <alignment vertical="top"/>
      <protection/>
    </xf>
    <xf numFmtId="165" fontId="123" fillId="0" borderId="23" xfId="208" applyNumberFormat="1" applyFont="1" applyFill="1" applyBorder="1" applyAlignment="1">
      <alignment vertical="top"/>
      <protection/>
    </xf>
    <xf numFmtId="0" fontId="44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24" fillId="0" borderId="0" xfId="0" applyFont="1" applyFill="1" applyBorder="1" applyAlignment="1">
      <alignment horizontal="center" vertical="top" wrapText="1"/>
    </xf>
    <xf numFmtId="0" fontId="124" fillId="0" borderId="0" xfId="0" applyFont="1" applyFill="1" applyBorder="1" applyAlignment="1">
      <alignment vertical="top" wrapText="1"/>
    </xf>
    <xf numFmtId="0" fontId="124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24" fillId="0" borderId="22" xfId="0" applyFont="1" applyFill="1" applyBorder="1" applyAlignment="1">
      <alignment horizontal="center" vertical="top" wrapText="1"/>
    </xf>
    <xf numFmtId="0" fontId="124" fillId="0" borderId="25" xfId="0" applyFont="1" applyFill="1" applyBorder="1" applyAlignment="1">
      <alignment horizontal="center" vertical="top" wrapText="1"/>
    </xf>
    <xf numFmtId="0" fontId="123" fillId="0" borderId="2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20" fillId="0" borderId="0" xfId="0" applyFont="1" applyFill="1" applyAlignment="1">
      <alignment horizontal="left" vertical="top"/>
    </xf>
    <xf numFmtId="0" fontId="123" fillId="0" borderId="23" xfId="0" applyFont="1" applyFill="1" applyBorder="1" applyAlignment="1">
      <alignment vertical="top" wrapText="1"/>
    </xf>
    <xf numFmtId="0" fontId="124" fillId="0" borderId="0" xfId="0" applyFont="1" applyFill="1" applyAlignment="1">
      <alignment vertical="top" wrapText="1"/>
    </xf>
    <xf numFmtId="0" fontId="6" fillId="0" borderId="23" xfId="0" applyFont="1" applyFill="1" applyBorder="1" applyAlignment="1">
      <alignment horizontal="left"/>
    </xf>
    <xf numFmtId="0" fontId="120" fillId="0" borderId="0" xfId="0" applyFont="1" applyFill="1" applyAlignment="1">
      <alignment vertical="top"/>
    </xf>
    <xf numFmtId="0" fontId="124" fillId="0" borderId="0" xfId="0" applyFont="1" applyFill="1" applyAlignment="1">
      <alignment horizontal="right" vertical="top"/>
    </xf>
    <xf numFmtId="0" fontId="123" fillId="0" borderId="0" xfId="0" applyFont="1" applyFill="1" applyAlignment="1">
      <alignment horizontal="right" vertical="top"/>
    </xf>
    <xf numFmtId="0" fontId="124" fillId="0" borderId="23" xfId="0" applyFont="1" applyFill="1" applyBorder="1" applyAlignment="1">
      <alignment horizontal="right" vertical="top"/>
    </xf>
    <xf numFmtId="0" fontId="124" fillId="0" borderId="22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/>
    </xf>
    <xf numFmtId="0" fontId="126" fillId="0" borderId="0" xfId="219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123" fillId="0" borderId="0" xfId="0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right"/>
    </xf>
    <xf numFmtId="165" fontId="6" fillId="0" borderId="0" xfId="19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66" fontId="6" fillId="0" borderId="23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2" fontId="6" fillId="0" borderId="0" xfId="0" applyNumberFormat="1" applyFont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 applyProtection="1">
      <alignment horizontal="left"/>
      <protection locked="0"/>
    </xf>
    <xf numFmtId="165" fontId="6" fillId="0" borderId="0" xfId="194" applyNumberFormat="1" applyFont="1" applyFill="1" applyBorder="1" applyAlignment="1">
      <alignment/>
    </xf>
    <xf numFmtId="165" fontId="6" fillId="0" borderId="0" xfId="194" applyNumberFormat="1" applyFont="1" applyFill="1" applyBorder="1" applyAlignment="1">
      <alignment/>
    </xf>
    <xf numFmtId="0" fontId="4" fillId="0" borderId="27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165" fontId="6" fillId="0" borderId="23" xfId="194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166" fontId="6" fillId="0" borderId="29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wrapText="1"/>
    </xf>
    <xf numFmtId="1" fontId="6" fillId="0" borderId="23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/>
    </xf>
    <xf numFmtId="166" fontId="6" fillId="0" borderId="23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" fontId="6" fillId="0" borderId="23" xfId="0" applyNumberFormat="1" applyFont="1" applyBorder="1" applyAlignment="1">
      <alignment/>
    </xf>
    <xf numFmtId="1" fontId="6" fillId="0" borderId="23" xfId="0" applyNumberFormat="1" applyFont="1" applyBorder="1" applyAlignment="1">
      <alignment horizontal="right"/>
    </xf>
    <xf numFmtId="167" fontId="6" fillId="0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 quotePrefix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right" wrapText="1"/>
      <protection locked="0"/>
    </xf>
    <xf numFmtId="169" fontId="6" fillId="0" borderId="27" xfId="155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123" fillId="0" borderId="21" xfId="208" applyFont="1" applyFill="1" applyBorder="1" applyAlignment="1">
      <alignment vertical="top"/>
      <protection/>
    </xf>
    <xf numFmtId="0" fontId="12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192" fontId="124" fillId="57" borderId="0" xfId="0" applyNumberFormat="1" applyFont="1" applyFill="1" applyBorder="1" applyAlignment="1">
      <alignment vertical="top"/>
    </xf>
    <xf numFmtId="192" fontId="123" fillId="57" borderId="0" xfId="0" applyNumberFormat="1" applyFont="1" applyFill="1" applyBorder="1" applyAlignment="1">
      <alignment vertical="top"/>
    </xf>
    <xf numFmtId="192" fontId="123" fillId="57" borderId="23" xfId="0" applyNumberFormat="1" applyFont="1" applyFill="1" applyBorder="1" applyAlignment="1">
      <alignment vertical="top"/>
    </xf>
    <xf numFmtId="165" fontId="124" fillId="57" borderId="0" xfId="208" applyNumberFormat="1" applyFont="1" applyFill="1" applyBorder="1" applyAlignment="1">
      <alignment vertical="top"/>
      <protection/>
    </xf>
    <xf numFmtId="165" fontId="124" fillId="57" borderId="23" xfId="208" applyNumberFormat="1" applyFont="1" applyFill="1" applyBorder="1" applyAlignment="1">
      <alignment vertical="top"/>
      <protection/>
    </xf>
    <xf numFmtId="192" fontId="124" fillId="57" borderId="23" xfId="0" applyNumberFormat="1" applyFont="1" applyFill="1" applyBorder="1" applyAlignment="1">
      <alignment vertical="top"/>
    </xf>
    <xf numFmtId="0" fontId="6" fillId="57" borderId="0" xfId="0" applyFont="1" applyFill="1" applyAlignment="1">
      <alignment/>
    </xf>
    <xf numFmtId="0" fontId="4" fillId="57" borderId="23" xfId="0" applyFont="1" applyFill="1" applyBorder="1" applyAlignment="1">
      <alignment/>
    </xf>
    <xf numFmtId="192" fontId="124" fillId="57" borderId="0" xfId="0" applyNumberFormat="1" applyFont="1" applyFill="1" applyBorder="1" applyAlignment="1">
      <alignment horizontal="right" vertical="top"/>
    </xf>
    <xf numFmtId="192" fontId="123" fillId="57" borderId="0" xfId="0" applyNumberFormat="1" applyFont="1" applyFill="1" applyBorder="1" applyAlignment="1">
      <alignment horizontal="right" vertical="top"/>
    </xf>
    <xf numFmtId="192" fontId="124" fillId="57" borderId="23" xfId="0" applyNumberFormat="1" applyFont="1" applyFill="1" applyBorder="1" applyAlignment="1">
      <alignment horizontal="right" vertical="top"/>
    </xf>
    <xf numFmtId="0" fontId="124" fillId="57" borderId="23" xfId="0" applyFont="1" applyFill="1" applyBorder="1" applyAlignment="1">
      <alignment vertical="top" wrapText="1"/>
    </xf>
    <xf numFmtId="0" fontId="124" fillId="57" borderId="0" xfId="0" applyFont="1" applyFill="1" applyAlignment="1">
      <alignment horizontal="right" vertical="top"/>
    </xf>
    <xf numFmtId="0" fontId="123" fillId="57" borderId="0" xfId="0" applyFont="1" applyFill="1" applyAlignment="1">
      <alignment horizontal="right" vertical="top"/>
    </xf>
    <xf numFmtId="0" fontId="124" fillId="57" borderId="23" xfId="0" applyFont="1" applyFill="1" applyBorder="1" applyAlignment="1">
      <alignment horizontal="right" vertical="top"/>
    </xf>
    <xf numFmtId="0" fontId="124" fillId="57" borderId="0" xfId="0" applyFont="1" applyFill="1" applyAlignment="1">
      <alignment vertical="top" wrapText="1"/>
    </xf>
    <xf numFmtId="0" fontId="123" fillId="57" borderId="0" xfId="0" applyFont="1" applyFill="1" applyAlignment="1">
      <alignment vertical="top" wrapText="1"/>
    </xf>
    <xf numFmtId="0" fontId="123" fillId="57" borderId="23" xfId="0" applyFont="1" applyFill="1" applyBorder="1" applyAlignment="1">
      <alignment vertical="top" wrapText="1"/>
    </xf>
    <xf numFmtId="192" fontId="124" fillId="57" borderId="0" xfId="0" applyNumberFormat="1" applyFont="1" applyFill="1" applyBorder="1" applyAlignment="1">
      <alignment/>
    </xf>
    <xf numFmtId="192" fontId="123" fillId="57" borderId="0" xfId="0" applyNumberFormat="1" applyFont="1" applyFill="1" applyBorder="1" applyAlignment="1">
      <alignment/>
    </xf>
    <xf numFmtId="192" fontId="123" fillId="57" borderId="23" xfId="0" applyNumberFormat="1" applyFont="1" applyFill="1" applyBorder="1" applyAlignment="1">
      <alignment/>
    </xf>
    <xf numFmtId="192" fontId="124" fillId="57" borderId="0" xfId="0" applyNumberFormat="1" applyFont="1" applyFill="1" applyBorder="1" applyAlignment="1">
      <alignment horizontal="left" vertical="top" wrapText="1"/>
    </xf>
    <xf numFmtId="192" fontId="123" fillId="57" borderId="0" xfId="0" applyNumberFormat="1" applyFont="1" applyFill="1" applyBorder="1" applyAlignment="1">
      <alignment horizontal="left" vertical="top" wrapText="1"/>
    </xf>
    <xf numFmtId="192" fontId="123" fillId="57" borderId="23" xfId="0" applyNumberFormat="1" applyFont="1" applyFill="1" applyBorder="1" applyAlignment="1">
      <alignment horizontal="left" vertical="top" wrapText="1"/>
    </xf>
    <xf numFmtId="0" fontId="124" fillId="57" borderId="0" xfId="0" applyFont="1" applyFill="1" applyAlignment="1">
      <alignment vertical="top"/>
    </xf>
    <xf numFmtId="0" fontId="123" fillId="57" borderId="0" xfId="0" applyFont="1" applyFill="1" applyAlignment="1">
      <alignment vertical="top"/>
    </xf>
    <xf numFmtId="0" fontId="124" fillId="57" borderId="23" xfId="0" applyFont="1" applyFill="1" applyBorder="1" applyAlignment="1">
      <alignment vertical="top"/>
    </xf>
    <xf numFmtId="192" fontId="124" fillId="57" borderId="23" xfId="0" applyNumberFormat="1" applyFont="1" applyFill="1" applyBorder="1" applyAlignment="1">
      <alignment horizontal="left" vertical="top" wrapText="1"/>
    </xf>
    <xf numFmtId="192" fontId="124" fillId="57" borderId="0" xfId="0" applyNumberFormat="1" applyFont="1" applyFill="1" applyBorder="1" applyAlignment="1">
      <alignment horizontal="left" vertical="top"/>
    </xf>
    <xf numFmtId="192" fontId="123" fillId="57" borderId="0" xfId="0" applyNumberFormat="1" applyFont="1" applyFill="1" applyBorder="1" applyAlignment="1">
      <alignment horizontal="left" vertical="top"/>
    </xf>
    <xf numFmtId="192" fontId="124" fillId="57" borderId="23" xfId="0" applyNumberFormat="1" applyFont="1" applyFill="1" applyBorder="1" applyAlignment="1">
      <alignment horizontal="left" vertical="top"/>
    </xf>
    <xf numFmtId="192" fontId="123" fillId="57" borderId="23" xfId="0" applyNumberFormat="1" applyFont="1" applyFill="1" applyBorder="1" applyAlignment="1">
      <alignment horizontal="left" vertical="top"/>
    </xf>
    <xf numFmtId="41" fontId="124" fillId="57" borderId="0" xfId="206" applyNumberFormat="1" applyFont="1" applyFill="1" applyBorder="1" applyAlignment="1">
      <alignment vertical="top" wrapText="1"/>
      <protection/>
    </xf>
    <xf numFmtId="41" fontId="123" fillId="57" borderId="0" xfId="206" applyNumberFormat="1" applyFont="1" applyFill="1" applyBorder="1" applyAlignment="1">
      <alignment vertical="top" wrapText="1"/>
      <protection/>
    </xf>
    <xf numFmtId="41" fontId="123" fillId="57" borderId="23" xfId="206" applyNumberFormat="1" applyFont="1" applyFill="1" applyBorder="1" applyAlignment="1">
      <alignment vertical="top" wrapText="1"/>
      <protection/>
    </xf>
    <xf numFmtId="1" fontId="6" fillId="57" borderId="23" xfId="0" applyNumberFormat="1" applyFont="1" applyFill="1" applyBorder="1" applyAlignment="1">
      <alignment/>
    </xf>
    <xf numFmtId="0" fontId="6" fillId="57" borderId="23" xfId="0" applyFont="1" applyFill="1" applyBorder="1" applyAlignment="1">
      <alignment horizontal="left"/>
    </xf>
    <xf numFmtId="166" fontId="6" fillId="57" borderId="23" xfId="0" applyNumberFormat="1" applyFont="1" applyFill="1" applyBorder="1" applyAlignment="1">
      <alignment horizontal="right"/>
    </xf>
    <xf numFmtId="0" fontId="6" fillId="57" borderId="0" xfId="0" applyNumberFormat="1" applyFont="1" applyFill="1" applyBorder="1" applyAlignment="1">
      <alignment horizontal="right"/>
    </xf>
    <xf numFmtId="0" fontId="6" fillId="57" borderId="0" xfId="0" applyFont="1" applyFill="1" applyBorder="1" applyAlignment="1">
      <alignment horizontal="right"/>
    </xf>
    <xf numFmtId="166" fontId="6" fillId="57" borderId="0" xfId="0" applyNumberFormat="1" applyFont="1" applyFill="1" applyBorder="1" applyAlignment="1">
      <alignment horizontal="right"/>
    </xf>
    <xf numFmtId="165" fontId="6" fillId="57" borderId="0" xfId="194" applyNumberFormat="1" applyFont="1" applyFill="1" applyBorder="1" applyAlignment="1">
      <alignment horizontal="right"/>
    </xf>
    <xf numFmtId="165" fontId="6" fillId="57" borderId="23" xfId="194" applyNumberFormat="1" applyFont="1" applyFill="1" applyBorder="1" applyAlignment="1">
      <alignment horizontal="right"/>
    </xf>
    <xf numFmtId="0" fontId="6" fillId="57" borderId="0" xfId="0" applyFont="1" applyFill="1" applyBorder="1" applyAlignment="1">
      <alignment/>
    </xf>
    <xf numFmtId="0" fontId="6" fillId="57" borderId="23" xfId="0" applyFont="1" applyFill="1" applyBorder="1" applyAlignment="1">
      <alignment/>
    </xf>
    <xf numFmtId="0" fontId="6" fillId="57" borderId="0" xfId="0" applyNumberFormat="1" applyFont="1" applyFill="1" applyBorder="1" applyAlignment="1" applyProtection="1">
      <alignment horizontal="right"/>
      <protection locked="0"/>
    </xf>
    <xf numFmtId="0" fontId="6" fillId="57" borderId="0" xfId="0" applyFont="1" applyFill="1" applyBorder="1" applyAlignment="1" applyProtection="1">
      <alignment horizontal="right"/>
      <protection locked="0"/>
    </xf>
    <xf numFmtId="0" fontId="6" fillId="57" borderId="23" xfId="0" applyFont="1" applyFill="1" applyBorder="1" applyAlignment="1" applyProtection="1">
      <alignment horizontal="right"/>
      <protection locked="0"/>
    </xf>
    <xf numFmtId="2" fontId="6" fillId="57" borderId="0" xfId="0" applyNumberFormat="1" applyFont="1" applyFill="1" applyBorder="1" applyAlignment="1">
      <alignment/>
    </xf>
    <xf numFmtId="2" fontId="6" fillId="57" borderId="23" xfId="0" applyNumberFormat="1" applyFont="1" applyFill="1" applyBorder="1" applyAlignment="1">
      <alignment/>
    </xf>
    <xf numFmtId="165" fontId="4" fillId="57" borderId="0" xfId="194" applyNumberFormat="1" applyFont="1" applyFill="1" applyBorder="1" applyAlignment="1">
      <alignment/>
    </xf>
    <xf numFmtId="165" fontId="4" fillId="57" borderId="23" xfId="194" applyNumberFormat="1" applyFont="1" applyFill="1" applyBorder="1" applyAlignment="1">
      <alignment/>
    </xf>
    <xf numFmtId="165" fontId="6" fillId="57" borderId="23" xfId="194" applyNumberFormat="1" applyFont="1" applyFill="1" applyBorder="1" applyAlignment="1">
      <alignment/>
    </xf>
    <xf numFmtId="165" fontId="6" fillId="57" borderId="0" xfId="194" applyNumberFormat="1" applyFont="1" applyFill="1" applyBorder="1" applyAlignment="1">
      <alignment/>
    </xf>
    <xf numFmtId="166" fontId="6" fillId="57" borderId="0" xfId="0" applyNumberFormat="1" applyFont="1" applyFill="1" applyBorder="1" applyAlignment="1" applyProtection="1">
      <alignment horizontal="right"/>
      <protection locked="0"/>
    </xf>
    <xf numFmtId="166" fontId="6" fillId="57" borderId="23" xfId="0" applyNumberFormat="1" applyFont="1" applyFill="1" applyBorder="1" applyAlignment="1" applyProtection="1">
      <alignment horizontal="right"/>
      <protection locked="0"/>
    </xf>
    <xf numFmtId="0" fontId="6" fillId="57" borderId="23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57" borderId="0" xfId="0" applyNumberFormat="1" applyFont="1" applyFill="1" applyBorder="1" applyAlignment="1">
      <alignment horizontal="right" vertical="center"/>
    </xf>
    <xf numFmtId="0" fontId="6" fillId="57" borderId="0" xfId="0" applyFont="1" applyFill="1" applyBorder="1" applyAlignment="1">
      <alignment horizontal="right" vertical="center"/>
    </xf>
    <xf numFmtId="0" fontId="6" fillId="57" borderId="23" xfId="0" applyFont="1" applyFill="1" applyBorder="1" applyAlignment="1">
      <alignment horizontal="right" vertical="center"/>
    </xf>
    <xf numFmtId="1" fontId="6" fillId="57" borderId="23" xfId="0" applyNumberFormat="1" applyFont="1" applyFill="1" applyBorder="1" applyAlignment="1">
      <alignment horizontal="left"/>
    </xf>
    <xf numFmtId="1" fontId="4" fillId="57" borderId="23" xfId="0" applyNumberFormat="1" applyFont="1" applyFill="1" applyBorder="1" applyAlignment="1">
      <alignment horizontal="left"/>
    </xf>
    <xf numFmtId="1" fontId="6" fillId="57" borderId="23" xfId="0" applyNumberFormat="1" applyFont="1" applyFill="1" applyBorder="1" applyAlignment="1">
      <alignment horizontal="right"/>
    </xf>
    <xf numFmtId="1" fontId="4" fillId="57" borderId="23" xfId="0" applyNumberFormat="1" applyFont="1" applyFill="1" applyBorder="1" applyAlignment="1">
      <alignment/>
    </xf>
    <xf numFmtId="0" fontId="126" fillId="0" borderId="0" xfId="219" applyFont="1" applyFill="1" applyBorder="1" applyAlignment="1">
      <alignment horizontal="right"/>
      <protection/>
    </xf>
    <xf numFmtId="0" fontId="127" fillId="0" borderId="0" xfId="219" applyFont="1" applyFill="1" applyBorder="1" applyAlignment="1">
      <alignment horizontal="left"/>
      <protection/>
    </xf>
    <xf numFmtId="0" fontId="124" fillId="0" borderId="30" xfId="208" applyFont="1" applyFill="1" applyBorder="1" applyAlignment="1">
      <alignment vertical="top"/>
      <protection/>
    </xf>
    <xf numFmtId="0" fontId="124" fillId="0" borderId="21" xfId="208" applyFont="1" applyFill="1" applyBorder="1" applyAlignment="1">
      <alignment vertical="top"/>
      <protection/>
    </xf>
    <xf numFmtId="0" fontId="124" fillId="0" borderId="30" xfId="208" applyFont="1" applyFill="1" applyBorder="1" applyAlignment="1">
      <alignment vertical="top" wrapText="1"/>
      <protection/>
    </xf>
    <xf numFmtId="0" fontId="6" fillId="0" borderId="21" xfId="0" applyFont="1" applyFill="1" applyBorder="1" applyAlignment="1">
      <alignment vertical="top" wrapText="1"/>
    </xf>
    <xf numFmtId="0" fontId="123" fillId="0" borderId="21" xfId="208" applyFont="1" applyFill="1" applyBorder="1" applyAlignment="1">
      <alignment horizontal="center" vertical="top" wrapText="1"/>
      <protection/>
    </xf>
    <xf numFmtId="0" fontId="124" fillId="0" borderId="30" xfId="0" applyFont="1" applyFill="1" applyBorder="1" applyAlignment="1">
      <alignment vertical="top" wrapText="1"/>
    </xf>
    <xf numFmtId="0" fontId="124" fillId="0" borderId="21" xfId="0" applyFont="1" applyFill="1" applyBorder="1" applyAlignment="1">
      <alignment vertical="top" wrapText="1"/>
    </xf>
    <xf numFmtId="0" fontId="123" fillId="0" borderId="21" xfId="0" applyFont="1" applyFill="1" applyBorder="1" applyAlignment="1">
      <alignment horizontal="center" vertical="top" wrapText="1"/>
    </xf>
    <xf numFmtId="0" fontId="124" fillId="0" borderId="31" xfId="0" applyFont="1" applyFill="1" applyBorder="1" applyAlignment="1">
      <alignment vertical="top" wrapText="1"/>
    </xf>
    <xf numFmtId="0" fontId="124" fillId="0" borderId="31" xfId="0" applyFont="1" applyFill="1" applyBorder="1" applyAlignment="1">
      <alignment horizontal="center" vertical="top" wrapText="1"/>
    </xf>
    <xf numFmtId="0" fontId="123" fillId="0" borderId="31" xfId="0" applyFont="1" applyFill="1" applyBorder="1" applyAlignment="1">
      <alignment horizontal="center" vertical="top" wrapText="1"/>
    </xf>
    <xf numFmtId="0" fontId="124" fillId="0" borderId="3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/>
    </xf>
    <xf numFmtId="0" fontId="124" fillId="0" borderId="3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/>
    </xf>
    <xf numFmtId="0" fontId="123" fillId="0" borderId="21" xfId="0" applyFont="1" applyFill="1" applyBorder="1" applyAlignment="1">
      <alignment horizontal="left" vertical="top"/>
    </xf>
    <xf numFmtId="0" fontId="124" fillId="0" borderId="30" xfId="0" applyFont="1" applyFill="1" applyBorder="1" applyAlignment="1">
      <alignment horizontal="center" vertical="top"/>
    </xf>
    <xf numFmtId="0" fontId="12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124" fillId="0" borderId="21" xfId="0" applyFont="1" applyFill="1" applyBorder="1" applyAlignment="1">
      <alignment horizontal="left" vertical="top"/>
    </xf>
    <xf numFmtId="0" fontId="123" fillId="0" borderId="21" xfId="0" applyFont="1" applyFill="1" applyBorder="1" applyAlignment="1">
      <alignment horizontal="left" vertical="top" wrapText="1"/>
    </xf>
    <xf numFmtId="0" fontId="124" fillId="0" borderId="3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/>
    </xf>
    <xf numFmtId="0" fontId="124" fillId="0" borderId="30" xfId="0" applyFont="1" applyFill="1" applyBorder="1" applyAlignment="1">
      <alignment vertical="top"/>
    </xf>
    <xf numFmtId="0" fontId="123" fillId="0" borderId="21" xfId="0" applyFont="1" applyFill="1" applyBorder="1" applyAlignment="1">
      <alignment vertical="top"/>
    </xf>
    <xf numFmtId="0" fontId="123" fillId="0" borderId="21" xfId="208" applyFont="1" applyFill="1" applyBorder="1" applyAlignment="1">
      <alignment horizontal="right" vertical="top"/>
      <protection/>
    </xf>
    <xf numFmtId="0" fontId="123" fillId="0" borderId="21" xfId="208" applyFont="1" applyFill="1" applyBorder="1" applyAlignment="1">
      <alignment horizontal="center" vertical="top"/>
      <protection/>
    </xf>
    <xf numFmtId="0" fontId="124" fillId="0" borderId="31" xfId="208" applyFont="1" applyFill="1" applyBorder="1" applyAlignment="1">
      <alignment vertical="top"/>
      <protection/>
    </xf>
    <xf numFmtId="0" fontId="6" fillId="0" borderId="30" xfId="0" applyFont="1" applyFill="1" applyBorder="1" applyAlignment="1">
      <alignment/>
    </xf>
    <xf numFmtId="0" fontId="124" fillId="0" borderId="32" xfId="208" applyFont="1" applyFill="1" applyBorder="1" applyAlignment="1">
      <alignment horizontal="center" vertical="top"/>
      <protection/>
    </xf>
    <xf numFmtId="0" fontId="124" fillId="0" borderId="30" xfId="206" applyFont="1" applyFill="1" applyBorder="1" applyAlignment="1">
      <alignment vertical="top" wrapText="1"/>
      <protection/>
    </xf>
    <xf numFmtId="0" fontId="123" fillId="0" borderId="21" xfId="206" applyFont="1" applyFill="1" applyBorder="1" applyAlignment="1">
      <alignment vertical="top" wrapText="1"/>
      <protection/>
    </xf>
    <xf numFmtId="0" fontId="124" fillId="0" borderId="30" xfId="208" applyFont="1" applyFill="1" applyBorder="1" applyAlignment="1">
      <alignment horizontal="center" vertical="top"/>
      <protection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/>
    </xf>
    <xf numFmtId="49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>
      <alignment horizontal="right" wrapText="1"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/>
    </xf>
    <xf numFmtId="49" fontId="6" fillId="0" borderId="31" xfId="0" applyNumberFormat="1" applyFont="1" applyFill="1" applyBorder="1" applyAlignment="1" applyProtection="1">
      <alignment/>
      <protection locked="0"/>
    </xf>
    <xf numFmtId="49" fontId="6" fillId="0" borderId="31" xfId="0" applyNumberFormat="1" applyFont="1" applyFill="1" applyBorder="1" applyAlignment="1" applyProtection="1">
      <alignment horizontal="right"/>
      <protection locked="0"/>
    </xf>
    <xf numFmtId="49" fontId="6" fillId="0" borderId="21" xfId="0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 horizontal="right"/>
      <protection locked="0"/>
    </xf>
    <xf numFmtId="49" fontId="4" fillId="0" borderId="30" xfId="0" applyNumberFormat="1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/>
    </xf>
    <xf numFmtId="0" fontId="124" fillId="0" borderId="25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65" fontId="6" fillId="0" borderId="23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 horizontal="left"/>
    </xf>
    <xf numFmtId="1" fontId="6" fillId="57" borderId="0" xfId="0" applyNumberFormat="1" applyFont="1" applyFill="1" applyBorder="1" applyAlignment="1">
      <alignment/>
    </xf>
    <xf numFmtId="192" fontId="124" fillId="57" borderId="0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right"/>
    </xf>
    <xf numFmtId="0" fontId="126" fillId="0" borderId="33" xfId="219" applyFont="1" applyFill="1" applyBorder="1" applyAlignment="1">
      <alignment horizontal="right"/>
      <protection/>
    </xf>
    <xf numFmtId="0" fontId="126" fillId="0" borderId="0" xfId="219" applyFont="1" applyFill="1" applyBorder="1" applyAlignment="1">
      <alignment horizontal="right"/>
      <protection/>
    </xf>
    <xf numFmtId="0" fontId="125" fillId="0" borderId="0" xfId="208" applyFont="1" applyFill="1" applyBorder="1" applyAlignment="1">
      <alignment horizontal="left" vertical="top"/>
      <protection/>
    </xf>
    <xf numFmtId="0" fontId="123" fillId="0" borderId="0" xfId="208" applyFont="1" applyFill="1" applyBorder="1" applyAlignment="1">
      <alignment horizontal="left" vertical="top"/>
      <protection/>
    </xf>
    <xf numFmtId="0" fontId="123" fillId="0" borderId="23" xfId="208" applyFont="1" applyFill="1" applyBorder="1" applyAlignment="1">
      <alignment horizontal="right" vertical="top"/>
      <protection/>
    </xf>
    <xf numFmtId="0" fontId="124" fillId="0" borderId="30" xfId="208" applyFont="1" applyFill="1" applyBorder="1" applyAlignment="1">
      <alignment horizontal="left" vertical="top"/>
      <protection/>
    </xf>
    <xf numFmtId="0" fontId="125" fillId="0" borderId="0" xfId="208" applyFont="1" applyFill="1" applyAlignment="1">
      <alignment horizontal="left" vertical="top"/>
      <protection/>
    </xf>
    <xf numFmtId="0" fontId="125" fillId="0" borderId="0" xfId="208" applyFont="1" applyFill="1" applyAlignment="1">
      <alignment horizontal="left" vertical="top" wrapText="1"/>
      <protection/>
    </xf>
    <xf numFmtId="0" fontId="123" fillId="0" borderId="0" xfId="208" applyFont="1" applyFill="1" applyBorder="1" applyAlignment="1">
      <alignment horizontal="left" vertical="top" wrapText="1"/>
      <protection/>
    </xf>
    <xf numFmtId="0" fontId="123" fillId="0" borderId="23" xfId="208" applyFont="1" applyFill="1" applyBorder="1" applyAlignment="1">
      <alignment horizontal="right" vertical="top" wrapText="1"/>
      <protection/>
    </xf>
    <xf numFmtId="0" fontId="124" fillId="0" borderId="0" xfId="208" applyFont="1" applyFill="1" applyBorder="1" applyAlignment="1">
      <alignment horizontal="center" vertical="top" wrapText="1"/>
      <protection/>
    </xf>
    <xf numFmtId="0" fontId="124" fillId="0" borderId="30" xfId="208" applyFont="1" applyFill="1" applyBorder="1" applyAlignment="1">
      <alignment horizontal="left" vertical="top" wrapText="1"/>
      <protection/>
    </xf>
    <xf numFmtId="0" fontId="6" fillId="0" borderId="30" xfId="0" applyFont="1" applyFill="1" applyBorder="1" applyAlignment="1">
      <alignment horizontal="left" vertical="top" wrapText="1"/>
    </xf>
    <xf numFmtId="0" fontId="123" fillId="0" borderId="0" xfId="0" applyFont="1" applyFill="1" applyBorder="1" applyAlignment="1">
      <alignment horizontal="left" vertical="top" wrapText="1"/>
    </xf>
    <xf numFmtId="0" fontId="123" fillId="0" borderId="23" xfId="0" applyFont="1" applyFill="1" applyBorder="1" applyAlignment="1">
      <alignment horizontal="right" vertical="top" wrapText="1"/>
    </xf>
    <xf numFmtId="0" fontId="124" fillId="0" borderId="30" xfId="0" applyFont="1" applyFill="1" applyBorder="1" applyAlignment="1">
      <alignment horizontal="center" vertical="top" wrapText="1"/>
    </xf>
    <xf numFmtId="0" fontId="125" fillId="0" borderId="0" xfId="0" applyFont="1" applyFill="1" applyAlignment="1">
      <alignment horizontal="left" vertical="top" wrapText="1"/>
    </xf>
    <xf numFmtId="0" fontId="123" fillId="0" borderId="21" xfId="0" applyFont="1" applyFill="1" applyBorder="1" applyAlignment="1">
      <alignment horizontal="center" vertical="top" wrapText="1"/>
    </xf>
    <xf numFmtId="0" fontId="124" fillId="0" borderId="0" xfId="0" applyFont="1" applyFill="1" applyBorder="1" applyAlignment="1">
      <alignment horizontal="center" vertical="top" wrapText="1"/>
    </xf>
    <xf numFmtId="0" fontId="124" fillId="0" borderId="31" xfId="0" applyFont="1" applyFill="1" applyBorder="1" applyAlignment="1">
      <alignment horizontal="center" vertical="top" wrapText="1"/>
    </xf>
    <xf numFmtId="0" fontId="124" fillId="0" borderId="30" xfId="0" applyFont="1" applyFill="1" applyBorder="1" applyAlignment="1">
      <alignment horizontal="left" vertical="top" wrapText="1"/>
    </xf>
    <xf numFmtId="0" fontId="125" fillId="0" borderId="0" xfId="0" applyFont="1" applyFill="1" applyAlignment="1">
      <alignment horizontal="left" vertical="top"/>
    </xf>
    <xf numFmtId="0" fontId="123" fillId="0" borderId="0" xfId="0" applyFont="1" applyFill="1" applyAlignment="1">
      <alignment horizontal="left" vertical="top"/>
    </xf>
    <xf numFmtId="0" fontId="123" fillId="0" borderId="23" xfId="0" applyFont="1" applyFill="1" applyBorder="1" applyAlignment="1">
      <alignment horizontal="right" vertical="top"/>
    </xf>
    <xf numFmtId="0" fontId="124" fillId="0" borderId="30" xfId="0" applyFont="1" applyFill="1" applyBorder="1" applyAlignment="1">
      <alignment horizontal="left" vertical="top"/>
    </xf>
    <xf numFmtId="0" fontId="123" fillId="0" borderId="0" xfId="0" applyFont="1" applyFill="1" applyAlignment="1">
      <alignment horizontal="left" vertical="top" wrapText="1"/>
    </xf>
    <xf numFmtId="0" fontId="124" fillId="0" borderId="22" xfId="0" applyFont="1" applyFill="1" applyBorder="1" applyAlignment="1">
      <alignment horizontal="center" vertical="top" wrapText="1"/>
    </xf>
    <xf numFmtId="0" fontId="123" fillId="0" borderId="0" xfId="0" applyFont="1" applyFill="1" applyBorder="1" applyAlignment="1">
      <alignment horizontal="left" vertical="top"/>
    </xf>
    <xf numFmtId="0" fontId="123" fillId="0" borderId="26" xfId="0" applyFont="1" applyFill="1" applyBorder="1" applyAlignment="1">
      <alignment horizontal="right" vertical="top"/>
    </xf>
    <xf numFmtId="0" fontId="6" fillId="0" borderId="0" xfId="203" applyFont="1" applyFill="1" applyBorder="1" applyAlignment="1">
      <alignment horizontal="left"/>
      <protection/>
    </xf>
    <xf numFmtId="0" fontId="4" fillId="0" borderId="0" xfId="203" applyFont="1" applyFill="1" applyBorder="1" applyAlignment="1">
      <alignment horizontal="left"/>
      <protection/>
    </xf>
    <xf numFmtId="0" fontId="123" fillId="0" borderId="21" xfId="0" applyFont="1" applyFill="1" applyBorder="1" applyAlignment="1">
      <alignment horizontal="left" vertical="top" wrapText="1"/>
    </xf>
    <xf numFmtId="0" fontId="123" fillId="0" borderId="0" xfId="208" applyFont="1" applyFill="1" applyAlignment="1">
      <alignment horizontal="left" vertical="top"/>
      <protection/>
    </xf>
    <xf numFmtId="0" fontId="123" fillId="0" borderId="0" xfId="208" applyFont="1" applyFill="1" applyAlignment="1">
      <alignment horizontal="right" vertical="top"/>
      <protection/>
    </xf>
    <xf numFmtId="0" fontId="124" fillId="0" borderId="31" xfId="208" applyFont="1" applyFill="1" applyBorder="1" applyAlignment="1">
      <alignment horizontal="left" vertical="top"/>
      <protection/>
    </xf>
    <xf numFmtId="0" fontId="123" fillId="0" borderId="23" xfId="208" applyFont="1" applyFill="1" applyBorder="1" applyAlignment="1">
      <alignment horizontal="left" vertical="top"/>
      <protection/>
    </xf>
    <xf numFmtId="0" fontId="123" fillId="0" borderId="34" xfId="208" applyFont="1" applyFill="1" applyBorder="1" applyAlignment="1">
      <alignment horizontal="right" vertical="top"/>
      <protection/>
    </xf>
    <xf numFmtId="0" fontId="124" fillId="0" borderId="32" xfId="208" applyFont="1" applyFill="1" applyBorder="1" applyAlignment="1">
      <alignment horizontal="left" vertical="top"/>
      <protection/>
    </xf>
    <xf numFmtId="0" fontId="125" fillId="0" borderId="0" xfId="206" applyFont="1" applyFill="1" applyBorder="1" applyAlignment="1">
      <alignment horizontal="left" vertical="top" wrapText="1"/>
      <protection/>
    </xf>
    <xf numFmtId="0" fontId="123" fillId="0" borderId="0" xfId="206" applyFont="1" applyFill="1" applyBorder="1" applyAlignment="1">
      <alignment horizontal="left" vertical="top" wrapText="1"/>
      <protection/>
    </xf>
    <xf numFmtId="0" fontId="6" fillId="0" borderId="23" xfId="0" applyFont="1" applyFill="1" applyBorder="1" applyAlignment="1">
      <alignment horizontal="right" vertical="top"/>
    </xf>
    <xf numFmtId="0" fontId="124" fillId="0" borderId="30" xfId="206" applyFont="1" applyFill="1" applyBorder="1" applyAlignment="1">
      <alignment horizontal="left" vertical="top" wrapText="1"/>
      <protection/>
    </xf>
    <xf numFmtId="0" fontId="123" fillId="0" borderId="0" xfId="208" applyFont="1" applyFill="1" applyBorder="1" applyAlignment="1">
      <alignment horizontal="right" vertical="top"/>
      <protection/>
    </xf>
    <xf numFmtId="0" fontId="6" fillId="0" borderId="0" xfId="0" applyFont="1" applyFill="1" applyBorder="1" applyAlignment="1">
      <alignment horizontal="right" vertical="top"/>
    </xf>
    <xf numFmtId="0" fontId="124" fillId="0" borderId="0" xfId="208" applyFont="1" applyFill="1" applyAlignment="1">
      <alignment horizontal="left" vertical="top"/>
      <protection/>
    </xf>
    <xf numFmtId="0" fontId="124" fillId="0" borderId="0" xfId="208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indent="3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3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0" fontId="127" fillId="0" borderId="0" xfId="219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</cellXfs>
  <cellStyles count="240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2" xfId="19"/>
    <cellStyle name="20 % - Akzent2 2" xfId="20"/>
    <cellStyle name="20 % - Akzent2 2 2" xfId="21"/>
    <cellStyle name="20 % - Akzent2 3" xfId="22"/>
    <cellStyle name="20 % - Akzent3" xfId="23"/>
    <cellStyle name="20 % - Akzent3 2" xfId="24"/>
    <cellStyle name="20 % - Akzent3 2 2" xfId="25"/>
    <cellStyle name="20 % - Akzent3 3" xfId="26"/>
    <cellStyle name="20 % - Akzent4" xfId="27"/>
    <cellStyle name="20 % - Akzent4 2" xfId="28"/>
    <cellStyle name="20 % - Akzent4 2 2" xfId="29"/>
    <cellStyle name="20 % - Akzent4 3" xfId="30"/>
    <cellStyle name="20 % - Akzent5" xfId="31"/>
    <cellStyle name="20 % - Akzent5 2" xfId="32"/>
    <cellStyle name="20 % - Akzent5 2 2" xfId="33"/>
    <cellStyle name="20 % - Akzent5 3" xfId="34"/>
    <cellStyle name="20 % - Akzent6" xfId="35"/>
    <cellStyle name="20 % - Akzent6 2" xfId="36"/>
    <cellStyle name="20 % - Akzent6 2 2" xfId="37"/>
    <cellStyle name="20 % - Akzent6 3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 % - Akzent1" xfId="45"/>
    <cellStyle name="40 % - Akzent1 2" xfId="46"/>
    <cellStyle name="40 % - Akzent1 2 2" xfId="47"/>
    <cellStyle name="40 % - Akzent1 3" xfId="48"/>
    <cellStyle name="40 % - Akzent2" xfId="49"/>
    <cellStyle name="40 % - Akzent2 2" xfId="50"/>
    <cellStyle name="40 % - Akzent2 2 2" xfId="51"/>
    <cellStyle name="40 % - Akzent2 3" xfId="52"/>
    <cellStyle name="40 % - Akzent3" xfId="53"/>
    <cellStyle name="40 % - Akzent3 2" xfId="54"/>
    <cellStyle name="40 % - Akzent3 2 2" xfId="55"/>
    <cellStyle name="40 % - Akzent3 3" xfId="56"/>
    <cellStyle name="40 % - Akzent4" xfId="57"/>
    <cellStyle name="40 % - Akzent4 2" xfId="58"/>
    <cellStyle name="40 % - Akzent4 2 2" xfId="59"/>
    <cellStyle name="40 % - Akzent4 3" xfId="60"/>
    <cellStyle name="40 % - Akzent5" xfId="61"/>
    <cellStyle name="40 % - Akzent5 2" xfId="62"/>
    <cellStyle name="40 % - Akzent5 2 2" xfId="63"/>
    <cellStyle name="40 % - Akzent5 3" xfId="64"/>
    <cellStyle name="40 % - Akzent6" xfId="65"/>
    <cellStyle name="40 % - Akzent6 2" xfId="66"/>
    <cellStyle name="40 % - Akzent6 2 2" xfId="67"/>
    <cellStyle name="40 % - Akzent6 3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 % - Akzent1" xfId="75"/>
    <cellStyle name="60 % - Akzent1 2" xfId="76"/>
    <cellStyle name="60 % - Akzent1 2 2" xfId="77"/>
    <cellStyle name="60 % - Akzent1 3" xfId="78"/>
    <cellStyle name="60 % - Akzent2" xfId="79"/>
    <cellStyle name="60 % - Akzent2 2" xfId="80"/>
    <cellStyle name="60 % - Akzent2 2 2" xfId="81"/>
    <cellStyle name="60 % - Akzent2 3" xfId="82"/>
    <cellStyle name="60 % - Akzent3" xfId="83"/>
    <cellStyle name="60 % - Akzent3 2" xfId="84"/>
    <cellStyle name="60 % - Akzent3 2 2" xfId="85"/>
    <cellStyle name="60 % - Akzent3 3" xfId="86"/>
    <cellStyle name="60 % - Akzent4" xfId="87"/>
    <cellStyle name="60 % - Akzent4 2" xfId="88"/>
    <cellStyle name="60 % - Akzent4 3" xfId="89"/>
    <cellStyle name="60 % - Akzent5" xfId="90"/>
    <cellStyle name="60 % - Akzent5 2" xfId="91"/>
    <cellStyle name="60 % - Akzent5 2 2" xfId="92"/>
    <cellStyle name="60 % - Akzent5 3" xfId="93"/>
    <cellStyle name="60 % - Akzent6" xfId="94"/>
    <cellStyle name="60 % - Akzent6 2" xfId="95"/>
    <cellStyle name="60 % - Akzent6 2 2" xfId="96"/>
    <cellStyle name="60 % - Akzent6 3" xfId="97"/>
    <cellStyle name="60% - Accent1" xfId="98"/>
    <cellStyle name="60% - Accent2" xfId="99"/>
    <cellStyle name="60% - Accent3" xfId="100"/>
    <cellStyle name="60% - Accent4" xfId="101"/>
    <cellStyle name="60% - Accent5" xfId="102"/>
    <cellStyle name="60% - Accent6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Akzent1" xfId="110"/>
    <cellStyle name="Akzent1 2" xfId="111"/>
    <cellStyle name="Akzent1 2 2" xfId="112"/>
    <cellStyle name="Akzent1 3" xfId="113"/>
    <cellStyle name="Akzent2" xfId="114"/>
    <cellStyle name="Akzent2 2" xfId="115"/>
    <cellStyle name="Akzent2 3" xfId="116"/>
    <cellStyle name="Akzent3" xfId="117"/>
    <cellStyle name="Akzent3 2" xfId="118"/>
    <cellStyle name="Akzent3 3" xfId="119"/>
    <cellStyle name="Akzent4" xfId="120"/>
    <cellStyle name="Akzent4 2" xfId="121"/>
    <cellStyle name="Akzent4 3" xfId="122"/>
    <cellStyle name="Akzent5" xfId="123"/>
    <cellStyle name="Akzent5 2" xfId="124"/>
    <cellStyle name="Akzent5 2 2" xfId="125"/>
    <cellStyle name="Akzent5 3" xfId="126"/>
    <cellStyle name="Akzent6" xfId="127"/>
    <cellStyle name="Akzent6 2" xfId="128"/>
    <cellStyle name="Akzent6 3" xfId="129"/>
    <cellStyle name="Ausgabe" xfId="130"/>
    <cellStyle name="Ausgabe 2" xfId="131"/>
    <cellStyle name="Ausgabe 3" xfId="132"/>
    <cellStyle name="Bad" xfId="133"/>
    <cellStyle name="Berechnung" xfId="134"/>
    <cellStyle name="Berechnung 2" xfId="135"/>
    <cellStyle name="Berechnung 3" xfId="136"/>
    <cellStyle name="Followed Hyperlink" xfId="137"/>
    <cellStyle name="Besuchter Hyperlink 2" xfId="138"/>
    <cellStyle name="Besuchter Hyperlink 2 2" xfId="139"/>
    <cellStyle name="Besuchter Hyperlink 3" xfId="140"/>
    <cellStyle name="Calculation" xfId="141"/>
    <cellStyle name="Check Cell" xfId="142"/>
    <cellStyle name="Comma [0]" xfId="143"/>
    <cellStyle name="Eingabe" xfId="144"/>
    <cellStyle name="Eingabe 2" xfId="145"/>
    <cellStyle name="Eingabe 2 2" xfId="146"/>
    <cellStyle name="Eingabe 3" xfId="147"/>
    <cellStyle name="Ergebnis" xfId="148"/>
    <cellStyle name="Ergebnis 2" xfId="149"/>
    <cellStyle name="Ergebnis 2 2" xfId="150"/>
    <cellStyle name="Ergebnis 3" xfId="151"/>
    <cellStyle name="Erklärender Text" xfId="152"/>
    <cellStyle name="Erklärender Text 2" xfId="153"/>
    <cellStyle name="Erklärender Text 3" xfId="154"/>
    <cellStyle name="Euro" xfId="155"/>
    <cellStyle name="Explanatory Text" xfId="156"/>
    <cellStyle name="Good" xfId="157"/>
    <cellStyle name="Gut" xfId="158"/>
    <cellStyle name="Gut 2" xfId="159"/>
    <cellStyle name="Gut 2 2" xfId="160"/>
    <cellStyle name="Gut 3" xfId="161"/>
    <cellStyle name="Heading 1" xfId="162"/>
    <cellStyle name="Heading 2" xfId="163"/>
    <cellStyle name="Heading 3" xfId="164"/>
    <cellStyle name="Heading 4" xfId="165"/>
    <cellStyle name="Hyperlink" xfId="166"/>
    <cellStyle name="Hyperlink 2" xfId="167"/>
    <cellStyle name="Hyperlink 2 2" xfId="168"/>
    <cellStyle name="Hyperlink 3" xfId="169"/>
    <cellStyle name="Hyperlink 3 2" xfId="170"/>
    <cellStyle name="Hyperlink 4" xfId="171"/>
    <cellStyle name="Input" xfId="172"/>
    <cellStyle name="Comma" xfId="173"/>
    <cellStyle name="Komma 2" xfId="174"/>
    <cellStyle name="Komma 2 2" xfId="175"/>
    <cellStyle name="Komma 2 3" xfId="176"/>
    <cellStyle name="Komma 3" xfId="177"/>
    <cellStyle name="Komma 4" xfId="178"/>
    <cellStyle name="Komma 5" xfId="179"/>
    <cellStyle name="Linked Cell" xfId="180"/>
    <cellStyle name="Neutral" xfId="181"/>
    <cellStyle name="Neutral 2" xfId="182"/>
    <cellStyle name="Neutral 2 2" xfId="183"/>
    <cellStyle name="Neutral 3" xfId="184"/>
    <cellStyle name="Neutral 3 2" xfId="185"/>
    <cellStyle name="Note" xfId="186"/>
    <cellStyle name="Note 2" xfId="187"/>
    <cellStyle name="Note 3" xfId="188"/>
    <cellStyle name="Notiz" xfId="189"/>
    <cellStyle name="Notiz 2" xfId="190"/>
    <cellStyle name="Notiz 2 2" xfId="191"/>
    <cellStyle name="Notiz 3" xfId="192"/>
    <cellStyle name="Output" xfId="193"/>
    <cellStyle name="Percent" xfId="194"/>
    <cellStyle name="Prozent 2" xfId="195"/>
    <cellStyle name="Prozent 2 2" xfId="196"/>
    <cellStyle name="Prozent 3" xfId="197"/>
    <cellStyle name="Prozent 4" xfId="198"/>
    <cellStyle name="Prozent 5" xfId="199"/>
    <cellStyle name="Schlecht" xfId="200"/>
    <cellStyle name="Schlecht 2" xfId="201"/>
    <cellStyle name="Schlecht 3" xfId="202"/>
    <cellStyle name="Standard 2" xfId="203"/>
    <cellStyle name="Standard 2 2" xfId="204"/>
    <cellStyle name="Standard 3" xfId="205"/>
    <cellStyle name="Standard 3 2" xfId="206"/>
    <cellStyle name="Standard 3 3" xfId="207"/>
    <cellStyle name="Standard 4" xfId="208"/>
    <cellStyle name="Standard 4 2" xfId="209"/>
    <cellStyle name="Standard 4 3" xfId="210"/>
    <cellStyle name="Standard 5" xfId="211"/>
    <cellStyle name="Standard 5 2" xfId="212"/>
    <cellStyle name="Standard 5 3" xfId="213"/>
    <cellStyle name="Standard 6" xfId="214"/>
    <cellStyle name="Standard 6 2" xfId="215"/>
    <cellStyle name="Standard 6 3" xfId="216"/>
    <cellStyle name="Standard 7" xfId="217"/>
    <cellStyle name="Standard 8" xfId="218"/>
    <cellStyle name="Standard 9" xfId="219"/>
    <cellStyle name="Title" xfId="220"/>
    <cellStyle name="Total" xfId="221"/>
    <cellStyle name="Überschrift" xfId="222"/>
    <cellStyle name="Überschrift 1" xfId="223"/>
    <cellStyle name="Überschrift 1 2" xfId="224"/>
    <cellStyle name="Überschrift 1 2 2" xfId="225"/>
    <cellStyle name="Überschrift 1 3" xfId="226"/>
    <cellStyle name="Überschrift 2" xfId="227"/>
    <cellStyle name="Überschrift 2 2" xfId="228"/>
    <cellStyle name="Überschrift 2 2 2" xfId="229"/>
    <cellStyle name="Überschrift 2 3" xfId="230"/>
    <cellStyle name="Überschrift 3" xfId="231"/>
    <cellStyle name="Überschrift 3 2" xfId="232"/>
    <cellStyle name="Überschrift 3 2 2" xfId="233"/>
    <cellStyle name="Überschrift 3 3" xfId="234"/>
    <cellStyle name="Überschrift 4" xfId="235"/>
    <cellStyle name="Überschrift 4 2" xfId="236"/>
    <cellStyle name="Überschrift 4 3" xfId="237"/>
    <cellStyle name="Verknüpfte Zelle" xfId="238"/>
    <cellStyle name="Verknüpfte Zelle 2" xfId="239"/>
    <cellStyle name="Verknüpfte Zelle 3" xfId="240"/>
    <cellStyle name="Currency" xfId="241"/>
    <cellStyle name="Currency [0]" xfId="242"/>
    <cellStyle name="Währung 2" xfId="243"/>
    <cellStyle name="Währung 2 2" xfId="244"/>
    <cellStyle name="Währung 3" xfId="245"/>
    <cellStyle name="Währung 4" xfId="246"/>
    <cellStyle name="Warnender Text" xfId="247"/>
    <cellStyle name="Warnender Text 2" xfId="248"/>
    <cellStyle name="Warnender Text 3" xfId="249"/>
    <cellStyle name="Warning Text" xfId="250"/>
    <cellStyle name="Zelle überprüfen" xfId="251"/>
    <cellStyle name="Zelle überprüfen 2" xfId="252"/>
    <cellStyle name="Zelle überprüfen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6D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Tabellenverzeichnis!A1" /><Relationship Id="rId4" Type="http://schemas.openxmlformats.org/officeDocument/2006/relationships/hyperlink" Target="#Tabellenverzeichnis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Tabellenverzeichnis!A1" /><Relationship Id="rId4" Type="http://schemas.openxmlformats.org/officeDocument/2006/relationships/hyperlink" Target="#Tabellenverzeichnis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Tabellenverzeichnis!A1" /><Relationship Id="rId4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133350</xdr:rowOff>
    </xdr:from>
    <xdr:to>
      <xdr:col>4</xdr:col>
      <xdr:colOff>504825</xdr:colOff>
      <xdr:row>2</xdr:row>
      <xdr:rowOff>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333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714375</xdr:colOff>
      <xdr:row>0</xdr:row>
      <xdr:rowOff>66675</xdr:rowOff>
    </xdr:from>
    <xdr:to>
      <xdr:col>12</xdr:col>
      <xdr:colOff>990600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1190625</xdr:colOff>
      <xdr:row>0</xdr:row>
      <xdr:rowOff>57150</xdr:rowOff>
    </xdr:from>
    <xdr:to>
      <xdr:col>8</xdr:col>
      <xdr:colOff>47625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723900</xdr:colOff>
      <xdr:row>0</xdr:row>
      <xdr:rowOff>66675</xdr:rowOff>
    </xdr:from>
    <xdr:to>
      <xdr:col>12</xdr:col>
      <xdr:colOff>1000125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1190625</xdr:colOff>
      <xdr:row>0</xdr:row>
      <xdr:rowOff>66675</xdr:rowOff>
    </xdr:from>
    <xdr:to>
      <xdr:col>8</xdr:col>
      <xdr:colOff>47625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85725</xdr:rowOff>
    </xdr:from>
    <xdr:to>
      <xdr:col>13</xdr:col>
      <xdr:colOff>9525</xdr:colOff>
      <xdr:row>1</xdr:row>
      <xdr:rowOff>152400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857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1181100</xdr:colOff>
      <xdr:row>0</xdr:row>
      <xdr:rowOff>57150</xdr:rowOff>
    </xdr:from>
    <xdr:to>
      <xdr:col>8</xdr:col>
      <xdr:colOff>38100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0</xdr:rowOff>
    </xdr:from>
    <xdr:to>
      <xdr:col>5</xdr:col>
      <xdr:colOff>533400</xdr:colOff>
      <xdr:row>2</xdr:row>
      <xdr:rowOff>76200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381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723900</xdr:colOff>
      <xdr:row>0</xdr:row>
      <xdr:rowOff>66675</xdr:rowOff>
    </xdr:from>
    <xdr:to>
      <xdr:col>11</xdr:col>
      <xdr:colOff>1000125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9525</xdr:rowOff>
    </xdr:from>
    <xdr:to>
      <xdr:col>4</xdr:col>
      <xdr:colOff>19050</xdr:colOff>
      <xdr:row>2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38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1524000</xdr:colOff>
      <xdr:row>1</xdr:row>
      <xdr:rowOff>47625</xdr:rowOff>
    </xdr:from>
    <xdr:to>
      <xdr:col>5</xdr:col>
      <xdr:colOff>38100</xdr:colOff>
      <xdr:row>2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62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733425</xdr:colOff>
      <xdr:row>0</xdr:row>
      <xdr:rowOff>66675</xdr:rowOff>
    </xdr:from>
    <xdr:to>
      <xdr:col>12</xdr:col>
      <xdr:colOff>1009650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723900</xdr:colOff>
      <xdr:row>0</xdr:row>
      <xdr:rowOff>57150</xdr:rowOff>
    </xdr:from>
    <xdr:to>
      <xdr:col>12</xdr:col>
      <xdr:colOff>1000125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571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47625</xdr:rowOff>
    </xdr:from>
    <xdr:to>
      <xdr:col>13</xdr:col>
      <xdr:colOff>9525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66675</xdr:rowOff>
    </xdr:from>
    <xdr:to>
      <xdr:col>8</xdr:col>
      <xdr:colOff>19050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1533525</xdr:colOff>
      <xdr:row>0</xdr:row>
      <xdr:rowOff>57150</xdr:rowOff>
    </xdr:from>
    <xdr:to>
      <xdr:col>8</xdr:col>
      <xdr:colOff>1809750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4942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57150</xdr:rowOff>
    </xdr:from>
    <xdr:to>
      <xdr:col>13</xdr:col>
      <xdr:colOff>9525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57150</xdr:rowOff>
    </xdr:from>
    <xdr:to>
      <xdr:col>12</xdr:col>
      <xdr:colOff>1019175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47625</xdr:rowOff>
    </xdr:from>
    <xdr:to>
      <xdr:col>8</xdr:col>
      <xdr:colOff>523875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1133475</xdr:colOff>
      <xdr:row>0</xdr:row>
      <xdr:rowOff>38100</xdr:rowOff>
    </xdr:from>
    <xdr:to>
      <xdr:col>5</xdr:col>
      <xdr:colOff>1409700</xdr:colOff>
      <xdr:row>1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81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781050</xdr:colOff>
      <xdr:row>0</xdr:row>
      <xdr:rowOff>47625</xdr:rowOff>
    </xdr:from>
    <xdr:to>
      <xdr:col>13</xdr:col>
      <xdr:colOff>9525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752475</xdr:colOff>
      <xdr:row>0</xdr:row>
      <xdr:rowOff>47625</xdr:rowOff>
    </xdr:from>
    <xdr:to>
      <xdr:col>12</xdr:col>
      <xdr:colOff>1028700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723900</xdr:colOff>
      <xdr:row>0</xdr:row>
      <xdr:rowOff>66675</xdr:rowOff>
    </xdr:from>
    <xdr:to>
      <xdr:col>12</xdr:col>
      <xdr:colOff>1000125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771525</xdr:colOff>
      <xdr:row>0</xdr:row>
      <xdr:rowOff>57150</xdr:rowOff>
    </xdr:from>
    <xdr:to>
      <xdr:col>12</xdr:col>
      <xdr:colOff>1047750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781050</xdr:colOff>
      <xdr:row>0</xdr:row>
      <xdr:rowOff>47625</xdr:rowOff>
    </xdr:from>
    <xdr:to>
      <xdr:col>13</xdr:col>
      <xdr:colOff>57150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476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771525</xdr:colOff>
      <xdr:row>0</xdr:row>
      <xdr:rowOff>47625</xdr:rowOff>
    </xdr:from>
    <xdr:to>
      <xdr:col>12</xdr:col>
      <xdr:colOff>1047750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</xdr:row>
      <xdr:rowOff>19050</xdr:rowOff>
    </xdr:from>
    <xdr:to>
      <xdr:col>4</xdr:col>
      <xdr:colOff>419100</xdr:colOff>
      <xdr:row>2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476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771525</xdr:colOff>
      <xdr:row>0</xdr:row>
      <xdr:rowOff>47625</xdr:rowOff>
    </xdr:from>
    <xdr:to>
      <xdr:col>12</xdr:col>
      <xdr:colOff>1047750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9525</xdr:rowOff>
    </xdr:from>
    <xdr:to>
      <xdr:col>4</xdr:col>
      <xdr:colOff>390525</xdr:colOff>
      <xdr:row>2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38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781050</xdr:colOff>
      <xdr:row>0</xdr:row>
      <xdr:rowOff>66675</xdr:rowOff>
    </xdr:from>
    <xdr:to>
      <xdr:col>13</xdr:col>
      <xdr:colOff>57150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666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4</xdr:col>
      <xdr:colOff>476250</xdr:colOff>
      <xdr:row>2</xdr:row>
      <xdr:rowOff>85725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286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19050</xdr:rowOff>
    </xdr:from>
    <xdr:to>
      <xdr:col>5</xdr:col>
      <xdr:colOff>609600</xdr:colOff>
      <xdr:row>2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476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</xdr:row>
      <xdr:rowOff>9525</xdr:rowOff>
    </xdr:from>
    <xdr:to>
      <xdr:col>4</xdr:col>
      <xdr:colOff>523875</xdr:colOff>
      <xdr:row>2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381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0</xdr:row>
      <xdr:rowOff>57150</xdr:rowOff>
    </xdr:from>
    <xdr:to>
      <xdr:col>12</xdr:col>
      <xdr:colOff>914400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676275</xdr:colOff>
      <xdr:row>0</xdr:row>
      <xdr:rowOff>66675</xdr:rowOff>
    </xdr:from>
    <xdr:to>
      <xdr:col>11</xdr:col>
      <xdr:colOff>952500</xdr:colOff>
      <xdr:row>1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47625</xdr:rowOff>
    </xdr:from>
    <xdr:to>
      <xdr:col>4</xdr:col>
      <xdr:colOff>142875</xdr:colOff>
      <xdr:row>2</xdr:row>
      <xdr:rowOff>133350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762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38100</xdr:rowOff>
    </xdr:from>
    <xdr:to>
      <xdr:col>4</xdr:col>
      <xdr:colOff>38100</xdr:colOff>
      <xdr:row>2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667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1</xdr:row>
      <xdr:rowOff>38100</xdr:rowOff>
    </xdr:from>
    <xdr:to>
      <xdr:col>4</xdr:col>
      <xdr:colOff>123825</xdr:colOff>
      <xdr:row>2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667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723900</xdr:colOff>
      <xdr:row>0</xdr:row>
      <xdr:rowOff>66675</xdr:rowOff>
    </xdr:from>
    <xdr:to>
      <xdr:col>11</xdr:col>
      <xdr:colOff>1000125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38100</xdr:rowOff>
    </xdr:from>
    <xdr:to>
      <xdr:col>4</xdr:col>
      <xdr:colOff>19050</xdr:colOff>
      <xdr:row>2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667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676275</xdr:colOff>
      <xdr:row>0</xdr:row>
      <xdr:rowOff>57150</xdr:rowOff>
    </xdr:from>
    <xdr:to>
      <xdr:col>11</xdr:col>
      <xdr:colOff>952500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266700</xdr:colOff>
      <xdr:row>0</xdr:row>
      <xdr:rowOff>104775</xdr:rowOff>
    </xdr:from>
    <xdr:to>
      <xdr:col>21</xdr:col>
      <xdr:colOff>542925</xdr:colOff>
      <xdr:row>1</xdr:row>
      <xdr:rowOff>171450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1047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209550</xdr:rowOff>
    </xdr:from>
    <xdr:to>
      <xdr:col>4</xdr:col>
      <xdr:colOff>19050</xdr:colOff>
      <xdr:row>2</xdr:row>
      <xdr:rowOff>85725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095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1</xdr:row>
      <xdr:rowOff>57150</xdr:rowOff>
    </xdr:from>
    <xdr:to>
      <xdr:col>2</xdr:col>
      <xdr:colOff>704850</xdr:colOff>
      <xdr:row>2</xdr:row>
      <xdr:rowOff>142875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5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752475</xdr:colOff>
      <xdr:row>0</xdr:row>
      <xdr:rowOff>47625</xdr:rowOff>
    </xdr:from>
    <xdr:to>
      <xdr:col>13</xdr:col>
      <xdr:colOff>19050</xdr:colOff>
      <xdr:row>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742950</xdr:colOff>
      <xdr:row>0</xdr:row>
      <xdr:rowOff>47625</xdr:rowOff>
    </xdr:from>
    <xdr:to>
      <xdr:col>13</xdr:col>
      <xdr:colOff>9525</xdr:colOff>
      <xdr:row>1</xdr:row>
      <xdr:rowOff>114300</xdr:rowOff>
    </xdr:to>
    <xdr:pic>
      <xdr:nvPicPr>
        <xdr:cNvPr id="2" name="Grafik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0</xdr:row>
      <xdr:rowOff>57150</xdr:rowOff>
    </xdr:from>
    <xdr:to>
      <xdr:col>11</xdr:col>
      <xdr:colOff>514350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19050</xdr:rowOff>
    </xdr:from>
    <xdr:to>
      <xdr:col>13</xdr:col>
      <xdr:colOff>523875</xdr:colOff>
      <xdr:row>1</xdr:row>
      <xdr:rowOff>85725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90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47625</xdr:rowOff>
    </xdr:from>
    <xdr:to>
      <xdr:col>13</xdr:col>
      <xdr:colOff>476250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38100</xdr:rowOff>
    </xdr:from>
    <xdr:to>
      <xdr:col>6</xdr:col>
      <xdr:colOff>514350</xdr:colOff>
      <xdr:row>1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81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0</xdr:row>
      <xdr:rowOff>57150</xdr:rowOff>
    </xdr:from>
    <xdr:to>
      <xdr:col>15</xdr:col>
      <xdr:colOff>514350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0</xdr:row>
      <xdr:rowOff>57150</xdr:rowOff>
    </xdr:from>
    <xdr:to>
      <xdr:col>15</xdr:col>
      <xdr:colOff>523875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0</xdr:row>
      <xdr:rowOff>57150</xdr:rowOff>
    </xdr:from>
    <xdr:to>
      <xdr:col>15</xdr:col>
      <xdr:colOff>504825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57150</xdr:rowOff>
    </xdr:from>
    <xdr:to>
      <xdr:col>9</xdr:col>
      <xdr:colOff>504825</xdr:colOff>
      <xdr:row>1</xdr:row>
      <xdr:rowOff>123825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47625</xdr:rowOff>
    </xdr:from>
    <xdr:to>
      <xdr:col>13</xdr:col>
      <xdr:colOff>523875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47625</xdr:rowOff>
    </xdr:from>
    <xdr:to>
      <xdr:col>12</xdr:col>
      <xdr:colOff>514350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752475</xdr:colOff>
      <xdr:row>0</xdr:row>
      <xdr:rowOff>66675</xdr:rowOff>
    </xdr:from>
    <xdr:to>
      <xdr:col>13</xdr:col>
      <xdr:colOff>19050</xdr:colOff>
      <xdr:row>1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742950</xdr:colOff>
      <xdr:row>0</xdr:row>
      <xdr:rowOff>66675</xdr:rowOff>
    </xdr:from>
    <xdr:to>
      <xdr:col>13</xdr:col>
      <xdr:colOff>9525</xdr:colOff>
      <xdr:row>1</xdr:row>
      <xdr:rowOff>133350</xdr:rowOff>
    </xdr:to>
    <xdr:pic>
      <xdr:nvPicPr>
        <xdr:cNvPr id="2" name="Grafik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66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47625</xdr:rowOff>
    </xdr:from>
    <xdr:to>
      <xdr:col>13</xdr:col>
      <xdr:colOff>504825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47625</xdr:rowOff>
    </xdr:from>
    <xdr:to>
      <xdr:col>12</xdr:col>
      <xdr:colOff>504825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38100</xdr:rowOff>
    </xdr:from>
    <xdr:to>
      <xdr:col>12</xdr:col>
      <xdr:colOff>514350</xdr:colOff>
      <xdr:row>1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81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47625</xdr:rowOff>
    </xdr:from>
    <xdr:to>
      <xdr:col>7</xdr:col>
      <xdr:colOff>514350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47625</xdr:rowOff>
    </xdr:from>
    <xdr:to>
      <xdr:col>8</xdr:col>
      <xdr:colOff>514350</xdr:colOff>
      <xdr:row>1</xdr:row>
      <xdr:rowOff>114300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76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0</xdr:row>
      <xdr:rowOff>19050</xdr:rowOff>
    </xdr:from>
    <xdr:to>
      <xdr:col>14</xdr:col>
      <xdr:colOff>400050</xdr:colOff>
      <xdr:row>1</xdr:row>
      <xdr:rowOff>85725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90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38100</xdr:rowOff>
    </xdr:from>
    <xdr:to>
      <xdr:col>14</xdr:col>
      <xdr:colOff>409575</xdr:colOff>
      <xdr:row>1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81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895350</xdr:colOff>
      <xdr:row>2</xdr:row>
      <xdr:rowOff>161925</xdr:rowOff>
    </xdr:from>
    <xdr:to>
      <xdr:col>8</xdr:col>
      <xdr:colOff>1171575</xdr:colOff>
      <xdr:row>2</xdr:row>
      <xdr:rowOff>533400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00050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38100</xdr:rowOff>
    </xdr:from>
    <xdr:to>
      <xdr:col>8</xdr:col>
      <xdr:colOff>542925</xdr:colOff>
      <xdr:row>2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667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57150</xdr:rowOff>
    </xdr:from>
    <xdr:to>
      <xdr:col>13</xdr:col>
      <xdr:colOff>542925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0</xdr:row>
      <xdr:rowOff>57150</xdr:rowOff>
    </xdr:from>
    <xdr:to>
      <xdr:col>13</xdr:col>
      <xdr:colOff>533400</xdr:colOff>
      <xdr:row>1</xdr:row>
      <xdr:rowOff>123825</xdr:rowOff>
    </xdr:to>
    <xdr:pic>
      <xdr:nvPicPr>
        <xdr:cNvPr id="2" name="Grafik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71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76200</xdr:rowOff>
    </xdr:from>
    <xdr:to>
      <xdr:col>13</xdr:col>
      <xdr:colOff>9525</xdr:colOff>
      <xdr:row>1</xdr:row>
      <xdr:rowOff>142875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76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2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2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2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3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3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3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3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3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85" zoomScaleNormal="85" zoomScalePageLayoutView="0" workbookViewId="0" topLeftCell="A1">
      <selection activeCell="B28" sqref="B28"/>
    </sheetView>
  </sheetViews>
  <sheetFormatPr defaultColWidth="11.57421875" defaultRowHeight="12.75"/>
  <cols>
    <col min="1" max="1" width="142.7109375" style="22" bestFit="1" customWidth="1"/>
    <col min="2" max="2" width="14.140625" style="55" bestFit="1" customWidth="1"/>
    <col min="3" max="16384" width="11.57421875" style="22" customWidth="1"/>
  </cols>
  <sheetData>
    <row r="1" spans="1:8" ht="18" customHeight="1">
      <c r="A1" s="10" t="s">
        <v>620</v>
      </c>
      <c r="B1" s="56"/>
      <c r="C1" s="21"/>
      <c r="D1" s="21"/>
      <c r="E1" s="21"/>
      <c r="F1" s="21"/>
      <c r="G1" s="21"/>
      <c r="H1" s="21"/>
    </row>
    <row r="2" ht="15.75" customHeight="1"/>
    <row r="3" spans="1:2" ht="15.75" customHeight="1">
      <c r="A3" s="53" t="s">
        <v>536</v>
      </c>
      <c r="B3" s="57" t="s">
        <v>537</v>
      </c>
    </row>
    <row r="4" spans="1:2" ht="15.75" customHeight="1">
      <c r="A4" s="54" t="s">
        <v>538</v>
      </c>
      <c r="B4" s="58"/>
    </row>
    <row r="5" spans="1:2" ht="15.75" customHeight="1">
      <c r="A5" s="55" t="s">
        <v>230</v>
      </c>
      <c r="B5" s="59" t="s">
        <v>539</v>
      </c>
    </row>
    <row r="6" spans="1:2" ht="15.75" customHeight="1">
      <c r="A6" s="54" t="s">
        <v>540</v>
      </c>
      <c r="B6" s="60"/>
    </row>
    <row r="7" spans="1:2" ht="15.75" customHeight="1">
      <c r="A7" s="55" t="s">
        <v>260</v>
      </c>
      <c r="B7" s="59" t="s">
        <v>541</v>
      </c>
    </row>
    <row r="8" spans="1:2" ht="15.75" customHeight="1">
      <c r="A8" s="55" t="s">
        <v>139</v>
      </c>
      <c r="B8" s="59" t="s">
        <v>542</v>
      </c>
    </row>
    <row r="9" spans="1:2" ht="15.75" customHeight="1">
      <c r="A9" s="55" t="s">
        <v>231</v>
      </c>
      <c r="B9" s="59" t="s">
        <v>543</v>
      </c>
    </row>
    <row r="10" spans="1:2" ht="15.75" customHeight="1">
      <c r="A10" s="55" t="s">
        <v>145</v>
      </c>
      <c r="B10" s="59" t="s">
        <v>544</v>
      </c>
    </row>
    <row r="11" spans="1:2" ht="15.75" customHeight="1">
      <c r="A11" s="55" t="s">
        <v>220</v>
      </c>
      <c r="B11" s="59" t="s">
        <v>545</v>
      </c>
    </row>
    <row r="12" spans="1:2" ht="15.75" customHeight="1">
      <c r="A12" s="55" t="s">
        <v>68</v>
      </c>
      <c r="B12" s="59" t="s">
        <v>546</v>
      </c>
    </row>
    <row r="13" spans="1:2" ht="15.75" customHeight="1">
      <c r="A13" s="55" t="s">
        <v>69</v>
      </c>
      <c r="B13" s="59" t="s">
        <v>547</v>
      </c>
    </row>
    <row r="14" spans="1:2" ht="15.75" customHeight="1">
      <c r="A14" s="54" t="s">
        <v>548</v>
      </c>
      <c r="B14" s="60"/>
    </row>
    <row r="15" spans="1:2" ht="15.75" customHeight="1">
      <c r="A15" s="55" t="s">
        <v>342</v>
      </c>
      <c r="B15" s="59" t="s">
        <v>549</v>
      </c>
    </row>
    <row r="16" spans="1:2" ht="15.75" customHeight="1">
      <c r="A16" s="54" t="s">
        <v>550</v>
      </c>
      <c r="B16" s="60"/>
    </row>
    <row r="17" spans="1:2" ht="15.75" customHeight="1">
      <c r="A17" s="55" t="s">
        <v>285</v>
      </c>
      <c r="B17" s="59" t="s">
        <v>551</v>
      </c>
    </row>
    <row r="18" spans="1:2" ht="15.75" customHeight="1">
      <c r="A18" s="55" t="s">
        <v>343</v>
      </c>
      <c r="B18" s="59" t="s">
        <v>552</v>
      </c>
    </row>
    <row r="19" spans="1:2" ht="15.75" customHeight="1">
      <c r="A19" s="55" t="s">
        <v>351</v>
      </c>
      <c r="B19" s="59" t="s">
        <v>553</v>
      </c>
    </row>
    <row r="20" spans="1:2" ht="15.75" customHeight="1">
      <c r="A20" s="55" t="s">
        <v>352</v>
      </c>
      <c r="B20" s="59" t="s">
        <v>554</v>
      </c>
    </row>
    <row r="21" spans="1:2" ht="15.75" customHeight="1">
      <c r="A21" s="55" t="s">
        <v>353</v>
      </c>
      <c r="B21" s="59" t="s">
        <v>555</v>
      </c>
    </row>
    <row r="22" spans="1:2" ht="15.75" customHeight="1">
      <c r="A22" s="55" t="s">
        <v>354</v>
      </c>
      <c r="B22" s="59" t="s">
        <v>556</v>
      </c>
    </row>
    <row r="23" spans="1:2" ht="15.75" customHeight="1">
      <c r="A23" s="55" t="s">
        <v>355</v>
      </c>
      <c r="B23" s="59" t="s">
        <v>557</v>
      </c>
    </row>
    <row r="24" spans="1:2" ht="15.75" customHeight="1">
      <c r="A24" s="55" t="s">
        <v>356</v>
      </c>
      <c r="B24" s="59" t="s">
        <v>558</v>
      </c>
    </row>
    <row r="25" spans="1:2" ht="15.75" customHeight="1">
      <c r="A25" s="55" t="s">
        <v>358</v>
      </c>
      <c r="B25" s="59" t="s">
        <v>559</v>
      </c>
    </row>
    <row r="26" spans="1:2" ht="15.75" customHeight="1">
      <c r="A26" s="55" t="s">
        <v>361</v>
      </c>
      <c r="B26" s="59" t="s">
        <v>560</v>
      </c>
    </row>
    <row r="27" spans="1:2" ht="15.75" customHeight="1">
      <c r="A27" s="54" t="s">
        <v>561</v>
      </c>
      <c r="B27" s="60"/>
    </row>
    <row r="28" spans="1:3" ht="15.75" customHeight="1">
      <c r="A28" s="55" t="s">
        <v>562</v>
      </c>
      <c r="B28" s="59" t="s">
        <v>563</v>
      </c>
      <c r="C28" s="20"/>
    </row>
    <row r="29" spans="1:3" ht="15.75" customHeight="1">
      <c r="A29" s="55" t="s">
        <v>407</v>
      </c>
      <c r="B29" s="59" t="s">
        <v>564</v>
      </c>
      <c r="C29" s="23"/>
    </row>
    <row r="30" spans="1:3" ht="15.75" customHeight="1">
      <c r="A30" s="55" t="s">
        <v>565</v>
      </c>
      <c r="B30" s="59" t="s">
        <v>566</v>
      </c>
      <c r="C30" s="24"/>
    </row>
    <row r="31" spans="1:2" ht="15.75" customHeight="1">
      <c r="A31" s="55" t="s">
        <v>410</v>
      </c>
      <c r="B31" s="59" t="s">
        <v>567</v>
      </c>
    </row>
    <row r="32" spans="1:2" ht="15.75" customHeight="1">
      <c r="A32" s="55" t="s">
        <v>412</v>
      </c>
      <c r="B32" s="59" t="s">
        <v>568</v>
      </c>
    </row>
    <row r="33" spans="1:2" ht="15.75" customHeight="1">
      <c r="A33" s="55" t="s">
        <v>413</v>
      </c>
      <c r="B33" s="59" t="s">
        <v>569</v>
      </c>
    </row>
    <row r="34" spans="1:2" ht="15.75" customHeight="1">
      <c r="A34" s="55" t="s">
        <v>414</v>
      </c>
      <c r="B34" s="59" t="s">
        <v>570</v>
      </c>
    </row>
    <row r="35" spans="1:2" ht="15.75" customHeight="1">
      <c r="A35" s="55" t="s">
        <v>415</v>
      </c>
      <c r="B35" s="59" t="s">
        <v>571</v>
      </c>
    </row>
    <row r="36" spans="1:2" ht="15.75" customHeight="1">
      <c r="A36" s="55" t="s">
        <v>416</v>
      </c>
      <c r="B36" s="59" t="s">
        <v>572</v>
      </c>
    </row>
    <row r="37" spans="1:2" ht="15.75" customHeight="1">
      <c r="A37" s="54" t="s">
        <v>573</v>
      </c>
      <c r="B37" s="60"/>
    </row>
    <row r="38" spans="1:2" ht="15.75" customHeight="1">
      <c r="A38" s="55" t="s">
        <v>574</v>
      </c>
      <c r="B38" s="59" t="s">
        <v>575</v>
      </c>
    </row>
    <row r="39" spans="1:2" ht="15.75" customHeight="1">
      <c r="A39" s="55" t="s">
        <v>418</v>
      </c>
      <c r="B39" s="59" t="s">
        <v>576</v>
      </c>
    </row>
    <row r="40" spans="1:2" ht="15.75" customHeight="1">
      <c r="A40" s="55" t="s">
        <v>419</v>
      </c>
      <c r="B40" s="59" t="s">
        <v>577</v>
      </c>
    </row>
    <row r="41" spans="1:2" ht="15.75" customHeight="1">
      <c r="A41" s="54" t="s">
        <v>578</v>
      </c>
      <c r="B41" s="60"/>
    </row>
    <row r="42" spans="1:2" ht="15.75" customHeight="1">
      <c r="A42" s="55" t="s">
        <v>420</v>
      </c>
      <c r="B42" s="59" t="s">
        <v>579</v>
      </c>
    </row>
    <row r="43" spans="1:2" ht="15.75" customHeight="1">
      <c r="A43" s="55" t="s">
        <v>510</v>
      </c>
      <c r="B43" s="59" t="s">
        <v>580</v>
      </c>
    </row>
    <row r="44" spans="1:2" ht="15.75" customHeight="1">
      <c r="A44" s="55" t="s">
        <v>422</v>
      </c>
      <c r="B44" s="59" t="s">
        <v>581</v>
      </c>
    </row>
    <row r="45" spans="1:2" ht="15.75" customHeight="1">
      <c r="A45" s="55" t="s">
        <v>511</v>
      </c>
      <c r="B45" s="59" t="s">
        <v>582</v>
      </c>
    </row>
    <row r="46" spans="1:2" ht="15.75" customHeight="1">
      <c r="A46" s="55" t="s">
        <v>423</v>
      </c>
      <c r="B46" s="59" t="s">
        <v>583</v>
      </c>
    </row>
    <row r="47" spans="1:2" ht="15.75" customHeight="1">
      <c r="A47" s="55" t="s">
        <v>512</v>
      </c>
      <c r="B47" s="59" t="s">
        <v>584</v>
      </c>
    </row>
    <row r="48" spans="1:2" ht="15.75" customHeight="1">
      <c r="A48" s="55" t="s">
        <v>424</v>
      </c>
      <c r="B48" s="59" t="s">
        <v>585</v>
      </c>
    </row>
    <row r="49" spans="1:2" ht="15.75" customHeight="1">
      <c r="A49" s="55" t="s">
        <v>513</v>
      </c>
      <c r="B49" s="59" t="s">
        <v>586</v>
      </c>
    </row>
    <row r="50" spans="1:2" ht="15.75" customHeight="1">
      <c r="A50" s="55" t="s">
        <v>425</v>
      </c>
      <c r="B50" s="59" t="s">
        <v>587</v>
      </c>
    </row>
    <row r="51" spans="1:2" ht="15.75" customHeight="1">
      <c r="A51" s="55" t="s">
        <v>514</v>
      </c>
      <c r="B51" s="59" t="s">
        <v>588</v>
      </c>
    </row>
    <row r="52" spans="1:2" ht="15.75" customHeight="1">
      <c r="A52" s="55" t="s">
        <v>515</v>
      </c>
      <c r="B52" s="59" t="s">
        <v>589</v>
      </c>
    </row>
    <row r="53" spans="1:2" ht="15.75" customHeight="1">
      <c r="A53" s="55" t="s">
        <v>426</v>
      </c>
      <c r="B53" s="59" t="s">
        <v>590</v>
      </c>
    </row>
    <row r="54" spans="1:2" ht="15.75" customHeight="1">
      <c r="A54" s="54" t="s">
        <v>591</v>
      </c>
      <c r="B54" s="60"/>
    </row>
    <row r="55" spans="1:2" ht="15.75" customHeight="1">
      <c r="A55" s="55" t="s">
        <v>592</v>
      </c>
      <c r="B55" s="59" t="s">
        <v>593</v>
      </c>
    </row>
    <row r="56" spans="1:2" ht="15.75" customHeight="1">
      <c r="A56" s="55" t="s">
        <v>503</v>
      </c>
      <c r="B56" s="59" t="s">
        <v>594</v>
      </c>
    </row>
    <row r="57" spans="1:2" ht="15.75" customHeight="1">
      <c r="A57" s="54" t="s">
        <v>595</v>
      </c>
      <c r="B57" s="60"/>
    </row>
    <row r="58" spans="1:2" ht="15.75" customHeight="1">
      <c r="A58" s="55" t="s">
        <v>356</v>
      </c>
      <c r="B58" s="59" t="s">
        <v>596</v>
      </c>
    </row>
    <row r="59" spans="1:2" ht="15.75" customHeight="1">
      <c r="A59" s="55" t="s">
        <v>517</v>
      </c>
      <c r="B59" s="59" t="s">
        <v>597</v>
      </c>
    </row>
    <row r="60" spans="1:2" ht="15.75" customHeight="1">
      <c r="A60" s="54" t="s">
        <v>598</v>
      </c>
      <c r="B60" s="60"/>
    </row>
    <row r="61" spans="1:2" ht="15.75" customHeight="1">
      <c r="A61" s="55" t="s">
        <v>518</v>
      </c>
      <c r="B61" s="59" t="s">
        <v>599</v>
      </c>
    </row>
    <row r="62" spans="1:2" ht="15.75" customHeight="1">
      <c r="A62" s="55" t="s">
        <v>519</v>
      </c>
      <c r="B62" s="59" t="s">
        <v>600</v>
      </c>
    </row>
    <row r="63" spans="1:2" ht="15.75" customHeight="1">
      <c r="A63" s="54" t="s">
        <v>219</v>
      </c>
      <c r="B63" s="60"/>
    </row>
    <row r="64" spans="1:2" ht="15.75" customHeight="1">
      <c r="A64" s="55" t="s">
        <v>269</v>
      </c>
      <c r="B64" s="59" t="s">
        <v>601</v>
      </c>
    </row>
    <row r="65" spans="1:2" ht="15.75" customHeight="1">
      <c r="A65" s="55" t="s">
        <v>264</v>
      </c>
      <c r="B65" s="59" t="s">
        <v>602</v>
      </c>
    </row>
    <row r="66" spans="1:2" ht="15.75" customHeight="1">
      <c r="A66" s="55" t="s">
        <v>265</v>
      </c>
      <c r="B66" s="59" t="s">
        <v>603</v>
      </c>
    </row>
    <row r="67" spans="1:2" ht="15.75" customHeight="1">
      <c r="A67" s="55" t="s">
        <v>270</v>
      </c>
      <c r="B67" s="59" t="s">
        <v>604</v>
      </c>
    </row>
    <row r="68" spans="1:2" ht="15.75" customHeight="1">
      <c r="A68" s="55" t="s">
        <v>266</v>
      </c>
      <c r="B68" s="59" t="s">
        <v>605</v>
      </c>
    </row>
    <row r="69" spans="1:2" ht="15.75" customHeight="1">
      <c r="A69" s="55" t="s">
        <v>200</v>
      </c>
      <c r="B69" s="59" t="s">
        <v>606</v>
      </c>
    </row>
    <row r="70" spans="1:2" ht="15.75" customHeight="1">
      <c r="A70" s="55" t="s">
        <v>272</v>
      </c>
      <c r="B70" s="59" t="s">
        <v>607</v>
      </c>
    </row>
    <row r="71" spans="1:2" ht="15.75" customHeight="1">
      <c r="A71" s="55" t="s">
        <v>302</v>
      </c>
      <c r="B71" s="59" t="s">
        <v>608</v>
      </c>
    </row>
    <row r="72" spans="1:2" ht="15.75" customHeight="1">
      <c r="A72" s="55" t="s">
        <v>303</v>
      </c>
      <c r="B72" s="59" t="s">
        <v>609</v>
      </c>
    </row>
    <row r="73" spans="1:2" ht="15.75" customHeight="1">
      <c r="A73" s="55" t="s">
        <v>520</v>
      </c>
      <c r="B73" s="59" t="s">
        <v>609</v>
      </c>
    </row>
    <row r="74" spans="1:2" ht="15.75" customHeight="1">
      <c r="A74" s="55" t="s">
        <v>255</v>
      </c>
      <c r="B74" s="59" t="s">
        <v>610</v>
      </c>
    </row>
    <row r="75" spans="1:2" ht="15.75" customHeight="1">
      <c r="A75" s="55" t="s">
        <v>304</v>
      </c>
      <c r="B75" s="59" t="s">
        <v>611</v>
      </c>
    </row>
    <row r="76" spans="1:2" ht="15.75" customHeight="1">
      <c r="A76" s="55" t="s">
        <v>307</v>
      </c>
      <c r="B76" s="59" t="s">
        <v>612</v>
      </c>
    </row>
    <row r="77" spans="1:2" ht="15.75" customHeight="1">
      <c r="A77" s="55" t="s">
        <v>305</v>
      </c>
      <c r="B77" s="59" t="s">
        <v>613</v>
      </c>
    </row>
    <row r="78" spans="1:2" ht="15.75" customHeight="1">
      <c r="A78" s="55" t="s">
        <v>267</v>
      </c>
      <c r="B78" s="59" t="s">
        <v>614</v>
      </c>
    </row>
    <row r="79" spans="1:2" ht="15.75" customHeight="1">
      <c r="A79" s="55" t="s">
        <v>268</v>
      </c>
      <c r="B79" s="59" t="s">
        <v>615</v>
      </c>
    </row>
    <row r="80" spans="1:2" ht="15.75" customHeight="1">
      <c r="A80" s="55" t="s">
        <v>616</v>
      </c>
      <c r="B80" s="59" t="s">
        <v>617</v>
      </c>
    </row>
    <row r="81" spans="1:2" ht="15.75" customHeight="1">
      <c r="A81" s="55" t="s">
        <v>524</v>
      </c>
      <c r="B81" s="59" t="s">
        <v>618</v>
      </c>
    </row>
    <row r="82" spans="1:2" ht="15.75" customHeight="1">
      <c r="A82" s="55" t="s">
        <v>296</v>
      </c>
      <c r="B82" s="59" t="s">
        <v>619</v>
      </c>
    </row>
    <row r="83" ht="15">
      <c r="B83" s="60"/>
    </row>
    <row r="84" ht="15">
      <c r="B84" s="60"/>
    </row>
    <row r="85" ht="15">
      <c r="B85" s="60"/>
    </row>
    <row r="86" ht="15">
      <c r="B86" s="60"/>
    </row>
    <row r="87" ht="15">
      <c r="B87" s="60"/>
    </row>
    <row r="88" ht="15">
      <c r="B88" s="60"/>
    </row>
    <row r="89" ht="15">
      <c r="B89" s="60"/>
    </row>
    <row r="90" ht="15">
      <c r="B90" s="60"/>
    </row>
    <row r="91" ht="15">
      <c r="B91" s="60"/>
    </row>
    <row r="92" ht="15">
      <c r="B92" s="60"/>
    </row>
    <row r="93" ht="15">
      <c r="B93" s="60"/>
    </row>
    <row r="94" ht="15">
      <c r="B94" s="60"/>
    </row>
    <row r="95" ht="15">
      <c r="B95" s="60"/>
    </row>
    <row r="96" ht="15">
      <c r="B96" s="60"/>
    </row>
    <row r="97" ht="15">
      <c r="B97" s="60"/>
    </row>
    <row r="98" ht="15">
      <c r="B98" s="60"/>
    </row>
    <row r="99" ht="15">
      <c r="B99" s="60"/>
    </row>
    <row r="100" ht="15">
      <c r="B100" s="60"/>
    </row>
    <row r="101" ht="15">
      <c r="B101" s="60"/>
    </row>
    <row r="102" ht="15">
      <c r="B102" s="60"/>
    </row>
    <row r="103" ht="15">
      <c r="B103" s="60"/>
    </row>
    <row r="104" ht="15">
      <c r="B104" s="60"/>
    </row>
    <row r="105" ht="15">
      <c r="B105" s="60"/>
    </row>
    <row r="106" ht="15">
      <c r="B106" s="60"/>
    </row>
    <row r="107" ht="15">
      <c r="B107" s="60"/>
    </row>
    <row r="108" ht="15">
      <c r="B108" s="60"/>
    </row>
    <row r="109" ht="15">
      <c r="B109" s="60"/>
    </row>
    <row r="110" ht="15">
      <c r="B110" s="60"/>
    </row>
    <row r="111" ht="15">
      <c r="B111" s="60"/>
    </row>
    <row r="112" ht="15">
      <c r="B112" s="60"/>
    </row>
    <row r="113" ht="15">
      <c r="B113" s="60"/>
    </row>
    <row r="114" ht="15">
      <c r="B114" s="60"/>
    </row>
  </sheetData>
  <sheetProtection/>
  <hyperlinks>
    <hyperlink ref="B5" location="Tab_1!A1" display="Tab_1"/>
    <hyperlink ref="B7" location="Tab_2_1_1!A1" display="Tab_2_1_1"/>
    <hyperlink ref="B8" location="Tab_2_1_2!A1" display="Tab_2_1_2"/>
    <hyperlink ref="B9" location="Tab_2_1_3!A1" display="Tab_2_1_3"/>
    <hyperlink ref="B10" location="Tab_2_1_4!A1" display="Tab_2_1_4"/>
    <hyperlink ref="B11" location="Tab_2_1_5!A1" display="Tab_2_1_5"/>
    <hyperlink ref="B12" location="Tab_2_1_6!A1" display="Tab_2_1_6"/>
    <hyperlink ref="B13" location="Tab_2_1_7!A1" display="Tab_2_1_7"/>
    <hyperlink ref="B15" location="Tab_2_2_1!A1" display="Tab_2_2_1"/>
    <hyperlink ref="B17" location="Tab_2_3_1!A1" display="Tab_2_3_1"/>
    <hyperlink ref="B18" location="Tab_2_3_2!A1" display="Tab_2_3_2"/>
    <hyperlink ref="B19" location="Tab_2_3_3!A1" display="Tab_2_3_3"/>
    <hyperlink ref="B20" location="Tab_2_3_4!A1" display="Tab_2_3_4"/>
    <hyperlink ref="B21" location="Tab_2_3_5!A1" display="Tab_2_3_5"/>
    <hyperlink ref="B22" location="Tab_2_3_6!A1" display="Tab_2_3_6"/>
    <hyperlink ref="B23" location="Tab_2_3_7!A1" display="Tab_2_3_7"/>
    <hyperlink ref="B24" location="Tab_2_3_8!A1" display="Tab_2_3_8"/>
    <hyperlink ref="B25" location="Tab_2_3_9!A1" display="Tab_2_3_9"/>
    <hyperlink ref="B26" location="Tab_2_3_10!A1" display="Tab_2_3_10"/>
    <hyperlink ref="B28" location="Tab_3_1_1!A1" display="Tab_3_1_1"/>
    <hyperlink ref="B29" location="Tab_3_1_2!A1" display="Tab_3_1_2"/>
    <hyperlink ref="B30" location="Tab_3_1_3!A1" display="Tab_3_1_3"/>
    <hyperlink ref="B31" location="Tab_3_1_4!A1" display="Tab_3_1_4"/>
    <hyperlink ref="B32" location="Tab_3_1_5!A1" display="Tab_3_1_5"/>
    <hyperlink ref="B33" location="Tab_3_1_6!A1" display="Tab_3_1_6"/>
    <hyperlink ref="B34" location="Tab_3_1_7!A1" display="Tab_3_1_7"/>
    <hyperlink ref="B35" location="Tab_3_1_8!A1" display="Tab_3_1_8"/>
    <hyperlink ref="B36" location="Tab_3_1_9!A1" display="Tab_3_1_9"/>
    <hyperlink ref="B38" location="Tab_3_2_1!A1" display="Tab_3_2_1"/>
    <hyperlink ref="B39" location="Tab_3_2_2!A1" display="Tab_3_2_2"/>
    <hyperlink ref="B40" location="Tab_3_2_3!A1" display="Tab_3_2_3"/>
    <hyperlink ref="B42" location="Tab_3_3_1!A1" display="Tab_3_3_1"/>
    <hyperlink ref="B43" location="Tab_3_3_2!A1" display="Tab_3_3_2"/>
    <hyperlink ref="B44" location="Tab_3_3_3!A1" display="Tab_3_3_3"/>
    <hyperlink ref="B45" location="Tab_3_3_4!A1" display="Tab_3_3_4"/>
    <hyperlink ref="B46" location="Tab_3_3_5!A1" display="Tab_3_3_5"/>
    <hyperlink ref="B47" location="Tab_3_3_6!A1" display="Tab_3_3_6"/>
    <hyperlink ref="B48" location="Tab_3_3_7!A1" display="Tab_3_3_7"/>
    <hyperlink ref="B49" location="Tab_3_3_8!A1" display="Tab_3_3_8"/>
    <hyperlink ref="B50" location="Tab_3_3_9!A1" display="Tab_3_3_9"/>
    <hyperlink ref="B51" location="Tab_3_3_10!A1" display="Tab_3_3_10"/>
    <hyperlink ref="B52" location="Tab_3_3_11!A1" display="Tab_3_3_11"/>
    <hyperlink ref="B53" location="Tab_3_3_12!A1" display="Tab_3_3_12"/>
    <hyperlink ref="B55" location="Tab_4_1_1!A1" display="Tab_4_1_1"/>
    <hyperlink ref="B56" location="Tab_4_1_2!A1" display="Tab_4_1_2"/>
    <hyperlink ref="B58" location="Tab_4_2_1!A1" display="Tab_4_2_1"/>
    <hyperlink ref="B59" location="Tab_4_2_2!A1" display="Tab_4_2_2"/>
    <hyperlink ref="B61" location="Tab_4_3_1!A1" display="Tab_4_3_1"/>
    <hyperlink ref="B62" location="Tab_4_3_2!A1" display="Tab_4_3_2"/>
    <hyperlink ref="B64" location="Tab_5_1!A1" display="Tab_5_1"/>
    <hyperlink ref="B65" location="Tab_5_2!A1" display="Tab_5_2"/>
    <hyperlink ref="B66" location="Tab_5_3!A1" display="Tab_5_3"/>
    <hyperlink ref="B67" location="Tab_5_4!A1" display="Tab_5_4"/>
    <hyperlink ref="B68" location="Tab_5_5!A1" display="Tab_5_5"/>
    <hyperlink ref="B69" location="Tab_5_6!A1" display="Tab_5_6"/>
    <hyperlink ref="B70" location="Tab_5_7!A1" display="Tab_5_7"/>
    <hyperlink ref="B71" location="Tab_5_8!A1" display="Tab_5_8"/>
    <hyperlink ref="B72" location="Tab_5_9!A1" display="Tab_5_9"/>
    <hyperlink ref="B73" location="Tab_5_9!A1" display="Tab_5_9"/>
    <hyperlink ref="B74" location="Tab_5_11!A1" display="Tab_5_11"/>
    <hyperlink ref="B75" location="Tab_5_12!A1" display="Tab_5_12"/>
    <hyperlink ref="B76" location="Tab_5_13_1!A1" display="Tab_5_13_1"/>
    <hyperlink ref="B77" location="Tab_5_13_2!A1" display="Tab_5_13_2"/>
    <hyperlink ref="B78" location="Tab_5_14!A1" display="Tab_5_14"/>
    <hyperlink ref="B79" location="Tab_5_15!A1" display="Tab_5_15"/>
    <hyperlink ref="B80" location="Tab_5_16!A1" display="Tab_5_16"/>
    <hyperlink ref="B81" location="Tab_5_17!A1" display="Tab_5_17"/>
    <hyperlink ref="B82" location="Tab_5_18!A1" display="Tab_5_18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9"/>
  <sheetViews>
    <sheetView zoomScale="85" zoomScaleNormal="85" zoomScalePageLayoutView="0" workbookViewId="0" topLeftCell="A1">
      <selection activeCell="V38" sqref="V38"/>
    </sheetView>
  </sheetViews>
  <sheetFormatPr defaultColWidth="11.421875" defaultRowHeight="12.75"/>
  <cols>
    <col min="1" max="1" width="21.140625" style="149" bestFit="1" customWidth="1"/>
    <col min="2" max="2" width="8.8515625" style="149" bestFit="1" customWidth="1"/>
    <col min="3" max="3" width="8.28125" style="149" bestFit="1" customWidth="1"/>
    <col min="4" max="4" width="9.28125" style="149" bestFit="1" customWidth="1"/>
    <col min="5" max="5" width="8.8515625" style="149" bestFit="1" customWidth="1"/>
    <col min="6" max="6" width="14.140625" style="149" bestFit="1" customWidth="1"/>
    <col min="7" max="7" width="9.28125" style="149" bestFit="1" customWidth="1"/>
    <col min="8" max="8" width="9.7109375" style="149" bestFit="1" customWidth="1"/>
    <col min="9" max="9" width="9.00390625" style="149" bestFit="1" customWidth="1"/>
    <col min="10" max="10" width="9.28125" style="149" bestFit="1" customWidth="1"/>
    <col min="11" max="11" width="9.8515625" style="149" bestFit="1" customWidth="1"/>
    <col min="12" max="12" width="9.28125" style="149" bestFit="1" customWidth="1"/>
    <col min="13" max="13" width="15.140625" style="149" bestFit="1" customWidth="1"/>
    <col min="14" max="16384" width="11.421875" style="149" customWidth="1"/>
  </cols>
  <sheetData>
    <row r="1" spans="1:13" ht="18" customHeight="1">
      <c r="A1" s="407" t="s">
        <v>342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6.5" customHeight="1">
      <c r="A2" s="404" t="s">
        <v>528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s="41" customFormat="1" ht="15.75" customHeight="1" thickBot="1">
      <c r="A3" s="405" t="s">
        <v>439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s="41" customFormat="1" ht="15.75" customHeight="1">
      <c r="A4" s="166"/>
      <c r="B4" s="339" t="s">
        <v>134</v>
      </c>
      <c r="C4" s="411" t="s">
        <v>122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s="41" customFormat="1" ht="15.75" customHeight="1">
      <c r="A5" s="141" t="s">
        <v>508</v>
      </c>
      <c r="B5" s="340"/>
      <c r="C5" s="335" t="s">
        <v>123</v>
      </c>
      <c r="D5" s="335" t="s">
        <v>124</v>
      </c>
      <c r="E5" s="335" t="s">
        <v>125</v>
      </c>
      <c r="F5" s="335" t="s">
        <v>126</v>
      </c>
      <c r="G5" s="335" t="s">
        <v>127</v>
      </c>
      <c r="H5" s="335" t="s">
        <v>128</v>
      </c>
      <c r="I5" s="335" t="s">
        <v>129</v>
      </c>
      <c r="J5" s="335" t="s">
        <v>130</v>
      </c>
      <c r="K5" s="335" t="s">
        <v>131</v>
      </c>
      <c r="L5" s="335" t="s">
        <v>132</v>
      </c>
      <c r="M5" s="335" t="s">
        <v>133</v>
      </c>
    </row>
    <row r="6" spans="1:13" s="41" customFormat="1" ht="15.75" customHeight="1">
      <c r="A6" s="141" t="s">
        <v>134</v>
      </c>
      <c r="B6" s="261">
        <v>25485</v>
      </c>
      <c r="C6" s="98">
        <v>3264</v>
      </c>
      <c r="D6" s="98">
        <v>3323</v>
      </c>
      <c r="E6" s="98">
        <v>3393</v>
      </c>
      <c r="F6" s="98">
        <v>2077</v>
      </c>
      <c r="G6" s="98">
        <v>3750</v>
      </c>
      <c r="H6" s="98">
        <v>351</v>
      </c>
      <c r="I6" s="98">
        <v>2928</v>
      </c>
      <c r="J6" s="98">
        <v>2677</v>
      </c>
      <c r="K6" s="98">
        <v>1162</v>
      </c>
      <c r="L6" s="98">
        <v>1721</v>
      </c>
      <c r="M6" s="98">
        <v>839</v>
      </c>
    </row>
    <row r="7" spans="1:13" s="41" customFormat="1" ht="15.75" customHeight="1">
      <c r="A7" s="143" t="s">
        <v>123</v>
      </c>
      <c r="B7" s="262">
        <v>2761</v>
      </c>
      <c r="C7" s="68">
        <v>1533</v>
      </c>
      <c r="D7" s="68">
        <v>342</v>
      </c>
      <c r="E7" s="68">
        <v>77</v>
      </c>
      <c r="F7" s="68">
        <v>97</v>
      </c>
      <c r="G7" s="68">
        <v>313</v>
      </c>
      <c r="H7" s="68">
        <v>32</v>
      </c>
      <c r="I7" s="68">
        <v>116</v>
      </c>
      <c r="J7" s="68">
        <v>103</v>
      </c>
      <c r="K7" s="68">
        <v>72</v>
      </c>
      <c r="L7" s="68">
        <v>64</v>
      </c>
      <c r="M7" s="68">
        <v>12</v>
      </c>
    </row>
    <row r="8" spans="1:13" s="41" customFormat="1" ht="15.75" customHeight="1">
      <c r="A8" s="143" t="s">
        <v>124</v>
      </c>
      <c r="B8" s="262">
        <v>2699</v>
      </c>
      <c r="C8" s="68">
        <v>230</v>
      </c>
      <c r="D8" s="68">
        <v>1750</v>
      </c>
      <c r="E8" s="68">
        <v>159</v>
      </c>
      <c r="F8" s="68">
        <v>95</v>
      </c>
      <c r="G8" s="68">
        <v>151</v>
      </c>
      <c r="H8" s="68">
        <v>10</v>
      </c>
      <c r="I8" s="68">
        <v>78</v>
      </c>
      <c r="J8" s="68">
        <v>90</v>
      </c>
      <c r="K8" s="68">
        <v>50</v>
      </c>
      <c r="L8" s="68">
        <v>48</v>
      </c>
      <c r="M8" s="68">
        <v>38</v>
      </c>
    </row>
    <row r="9" spans="1:13" s="41" customFormat="1" ht="15.75" customHeight="1">
      <c r="A9" s="143" t="s">
        <v>125</v>
      </c>
      <c r="B9" s="262">
        <v>4051</v>
      </c>
      <c r="C9" s="68">
        <v>290</v>
      </c>
      <c r="D9" s="68">
        <v>311</v>
      </c>
      <c r="E9" s="68">
        <v>2725</v>
      </c>
      <c r="F9" s="68">
        <v>118</v>
      </c>
      <c r="G9" s="68">
        <v>217</v>
      </c>
      <c r="H9" s="68">
        <v>14</v>
      </c>
      <c r="I9" s="68">
        <v>118</v>
      </c>
      <c r="J9" s="68">
        <v>100</v>
      </c>
      <c r="K9" s="68">
        <v>41</v>
      </c>
      <c r="L9" s="68">
        <v>72</v>
      </c>
      <c r="M9" s="68">
        <v>45</v>
      </c>
    </row>
    <row r="10" spans="1:13" s="41" customFormat="1" ht="15.75" customHeight="1">
      <c r="A10" s="143" t="s">
        <v>126</v>
      </c>
      <c r="B10" s="262">
        <v>2712</v>
      </c>
      <c r="C10" s="68">
        <v>217</v>
      </c>
      <c r="D10" s="68">
        <v>299</v>
      </c>
      <c r="E10" s="68">
        <v>110</v>
      </c>
      <c r="F10" s="68">
        <v>1505</v>
      </c>
      <c r="G10" s="68">
        <v>237</v>
      </c>
      <c r="H10" s="68">
        <v>8</v>
      </c>
      <c r="I10" s="68">
        <v>130</v>
      </c>
      <c r="J10" s="68">
        <v>99</v>
      </c>
      <c r="K10" s="68">
        <v>39</v>
      </c>
      <c r="L10" s="68">
        <v>46</v>
      </c>
      <c r="M10" s="68">
        <v>22</v>
      </c>
    </row>
    <row r="11" spans="1:13" s="41" customFormat="1" ht="15.75" customHeight="1">
      <c r="A11" s="143" t="s">
        <v>127</v>
      </c>
      <c r="B11" s="262">
        <v>3478</v>
      </c>
      <c r="C11" s="68">
        <v>298</v>
      </c>
      <c r="D11" s="68">
        <v>191</v>
      </c>
      <c r="E11" s="68">
        <v>91</v>
      </c>
      <c r="F11" s="68">
        <v>69</v>
      </c>
      <c r="G11" s="68">
        <v>2166</v>
      </c>
      <c r="H11" s="68">
        <v>68</v>
      </c>
      <c r="I11" s="68">
        <v>209</v>
      </c>
      <c r="J11" s="68">
        <v>146</v>
      </c>
      <c r="K11" s="68">
        <v>82</v>
      </c>
      <c r="L11" s="68">
        <v>121</v>
      </c>
      <c r="M11" s="68">
        <v>37</v>
      </c>
    </row>
    <row r="12" spans="1:13" s="41" customFormat="1" ht="15.75" customHeight="1">
      <c r="A12" s="143" t="s">
        <v>128</v>
      </c>
      <c r="B12" s="262">
        <v>319</v>
      </c>
      <c r="C12" s="68">
        <v>34</v>
      </c>
      <c r="D12" s="68">
        <v>11</v>
      </c>
      <c r="E12" s="68">
        <v>9</v>
      </c>
      <c r="F12" s="68">
        <v>6</v>
      </c>
      <c r="G12" s="68">
        <v>67</v>
      </c>
      <c r="H12" s="68">
        <v>127</v>
      </c>
      <c r="I12" s="68">
        <v>18</v>
      </c>
      <c r="J12" s="68">
        <v>17</v>
      </c>
      <c r="K12" s="68">
        <v>13</v>
      </c>
      <c r="L12" s="68">
        <v>7</v>
      </c>
      <c r="M12" s="68">
        <v>10</v>
      </c>
    </row>
    <row r="13" spans="1:13" s="41" customFormat="1" ht="15.75" customHeight="1">
      <c r="A13" s="143" t="s">
        <v>129</v>
      </c>
      <c r="B13" s="262">
        <v>2674</v>
      </c>
      <c r="C13" s="68">
        <v>157</v>
      </c>
      <c r="D13" s="68">
        <v>108</v>
      </c>
      <c r="E13" s="68">
        <v>50</v>
      </c>
      <c r="F13" s="68">
        <v>44</v>
      </c>
      <c r="G13" s="68">
        <v>173</v>
      </c>
      <c r="H13" s="68">
        <v>23</v>
      </c>
      <c r="I13" s="68">
        <v>1681</v>
      </c>
      <c r="J13" s="68">
        <v>219</v>
      </c>
      <c r="K13" s="68">
        <v>90</v>
      </c>
      <c r="L13" s="68">
        <v>99</v>
      </c>
      <c r="M13" s="68">
        <v>30</v>
      </c>
    </row>
    <row r="14" spans="1:13" s="41" customFormat="1" ht="15.75" customHeight="1">
      <c r="A14" s="143" t="s">
        <v>130</v>
      </c>
      <c r="B14" s="262">
        <v>3030</v>
      </c>
      <c r="C14" s="68">
        <v>215</v>
      </c>
      <c r="D14" s="68">
        <v>122</v>
      </c>
      <c r="E14" s="68">
        <v>78</v>
      </c>
      <c r="F14" s="68">
        <v>65</v>
      </c>
      <c r="G14" s="68">
        <v>206</v>
      </c>
      <c r="H14" s="68">
        <v>27</v>
      </c>
      <c r="I14" s="68">
        <v>301</v>
      </c>
      <c r="J14" s="68">
        <v>1636</v>
      </c>
      <c r="K14" s="68">
        <v>137</v>
      </c>
      <c r="L14" s="68">
        <v>120</v>
      </c>
      <c r="M14" s="68">
        <v>123</v>
      </c>
    </row>
    <row r="15" spans="1:13" s="41" customFormat="1" ht="15.75" customHeight="1">
      <c r="A15" s="143" t="s">
        <v>131</v>
      </c>
      <c r="B15" s="262">
        <v>899</v>
      </c>
      <c r="C15" s="68">
        <v>62</v>
      </c>
      <c r="D15" s="68">
        <v>46</v>
      </c>
      <c r="E15" s="68">
        <v>19</v>
      </c>
      <c r="F15" s="68">
        <v>14</v>
      </c>
      <c r="G15" s="68">
        <v>55</v>
      </c>
      <c r="H15" s="68">
        <v>4</v>
      </c>
      <c r="I15" s="68">
        <v>79</v>
      </c>
      <c r="J15" s="68">
        <v>48</v>
      </c>
      <c r="K15" s="68">
        <v>511</v>
      </c>
      <c r="L15" s="68">
        <v>46</v>
      </c>
      <c r="M15" s="68">
        <v>15</v>
      </c>
    </row>
    <row r="16" spans="1:13" s="41" customFormat="1" ht="15.75" customHeight="1">
      <c r="A16" s="143" t="s">
        <v>132</v>
      </c>
      <c r="B16" s="262">
        <v>1675</v>
      </c>
      <c r="C16" s="68">
        <v>114</v>
      </c>
      <c r="D16" s="68">
        <v>67</v>
      </c>
      <c r="E16" s="68">
        <v>41</v>
      </c>
      <c r="F16" s="68">
        <v>33</v>
      </c>
      <c r="G16" s="68">
        <v>109</v>
      </c>
      <c r="H16" s="68">
        <v>27</v>
      </c>
      <c r="I16" s="68">
        <v>95</v>
      </c>
      <c r="J16" s="68">
        <v>65</v>
      </c>
      <c r="K16" s="68">
        <v>68</v>
      </c>
      <c r="L16" s="68">
        <v>1022</v>
      </c>
      <c r="M16" s="68">
        <v>34</v>
      </c>
    </row>
    <row r="17" spans="1:13" s="41" customFormat="1" ht="15.75" customHeight="1">
      <c r="A17" s="143" t="s">
        <v>133</v>
      </c>
      <c r="B17" s="262">
        <v>1170</v>
      </c>
      <c r="C17" s="68">
        <v>99</v>
      </c>
      <c r="D17" s="68">
        <v>75</v>
      </c>
      <c r="E17" s="68">
        <v>34</v>
      </c>
      <c r="F17" s="68">
        <v>31</v>
      </c>
      <c r="G17" s="68">
        <v>55</v>
      </c>
      <c r="H17" s="68">
        <v>11</v>
      </c>
      <c r="I17" s="68">
        <v>103</v>
      </c>
      <c r="J17" s="68">
        <v>154</v>
      </c>
      <c r="K17" s="68">
        <v>59</v>
      </c>
      <c r="L17" s="68">
        <v>76</v>
      </c>
      <c r="M17" s="68">
        <v>473</v>
      </c>
    </row>
    <row r="18" spans="1:14" s="41" customFormat="1" ht="15.75" customHeight="1" thickBot="1">
      <c r="A18" s="168" t="s">
        <v>135</v>
      </c>
      <c r="B18" s="263">
        <v>17</v>
      </c>
      <c r="C18" s="83">
        <v>15</v>
      </c>
      <c r="D18" s="83">
        <v>1</v>
      </c>
      <c r="E18" s="83">
        <v>0</v>
      </c>
      <c r="F18" s="83">
        <v>0</v>
      </c>
      <c r="G18" s="83">
        <v>1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42"/>
    </row>
    <row r="19" spans="1:14" ht="14.25">
      <c r="A19" s="391" t="s">
        <v>635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181"/>
    </row>
  </sheetData>
  <sheetProtection/>
  <mergeCells count="5">
    <mergeCell ref="A1:M1"/>
    <mergeCell ref="A2:M2"/>
    <mergeCell ref="A3:M3"/>
    <mergeCell ref="C4:M4"/>
    <mergeCell ref="A19:M19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="85" zoomScaleNormal="85" zoomScalePageLayoutView="0" workbookViewId="0" topLeftCell="A1">
      <selection activeCell="R41" sqref="R41"/>
    </sheetView>
  </sheetViews>
  <sheetFormatPr defaultColWidth="11.421875" defaultRowHeight="12.75"/>
  <cols>
    <col min="1" max="1" width="24.28125" style="163" bestFit="1" customWidth="1"/>
    <col min="2" max="2" width="7.8515625" style="163" bestFit="1" customWidth="1"/>
    <col min="3" max="3" width="7.7109375" style="163" bestFit="1" customWidth="1"/>
    <col min="4" max="4" width="9.28125" style="163" bestFit="1" customWidth="1"/>
    <col min="5" max="5" width="8.8515625" style="163" bestFit="1" customWidth="1"/>
    <col min="6" max="6" width="14.140625" style="163" bestFit="1" customWidth="1"/>
    <col min="7" max="7" width="9.28125" style="163" bestFit="1" customWidth="1"/>
    <col min="8" max="8" width="9.7109375" style="163" bestFit="1" customWidth="1"/>
    <col min="9" max="9" width="9.00390625" style="163" bestFit="1" customWidth="1"/>
    <col min="10" max="10" width="9.28125" style="163" bestFit="1" customWidth="1"/>
    <col min="11" max="11" width="10.28125" style="163" bestFit="1" customWidth="1"/>
    <col min="12" max="12" width="9.28125" style="163" bestFit="1" customWidth="1"/>
    <col min="13" max="13" width="15.140625" style="163" bestFit="1" customWidth="1"/>
    <col min="14" max="16384" width="11.421875" style="163" customWidth="1"/>
  </cols>
  <sheetData>
    <row r="1" spans="1:13" ht="18" customHeight="1">
      <c r="A1" s="412" t="s">
        <v>285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6.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s="77" customFormat="1" ht="15.75" customHeight="1" thickBot="1">
      <c r="A3" s="414" t="s">
        <v>481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s="77" customFormat="1" ht="15.75" customHeight="1">
      <c r="A4" s="80"/>
      <c r="B4" s="341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s="77" customFormat="1" ht="15.75" customHeight="1">
      <c r="A5" s="80"/>
      <c r="B5" s="342"/>
      <c r="C5" s="343" t="s">
        <v>123</v>
      </c>
      <c r="D5" s="343" t="s">
        <v>124</v>
      </c>
      <c r="E5" s="343" t="s">
        <v>125</v>
      </c>
      <c r="F5" s="343" t="s">
        <v>126</v>
      </c>
      <c r="G5" s="343" t="s">
        <v>127</v>
      </c>
      <c r="H5" s="343" t="s">
        <v>128</v>
      </c>
      <c r="I5" s="343" t="s">
        <v>129</v>
      </c>
      <c r="J5" s="343" t="s">
        <v>130</v>
      </c>
      <c r="K5" s="343" t="s">
        <v>131</v>
      </c>
      <c r="L5" s="343" t="s">
        <v>132</v>
      </c>
      <c r="M5" s="343" t="s">
        <v>133</v>
      </c>
    </row>
    <row r="6" spans="1:13" s="77" customFormat="1" ht="15.75" customHeight="1">
      <c r="A6" s="18" t="s">
        <v>134</v>
      </c>
      <c r="B6" s="261">
        <v>2917</v>
      </c>
      <c r="C6" s="98">
        <v>646</v>
      </c>
      <c r="D6" s="98">
        <v>462</v>
      </c>
      <c r="E6" s="98">
        <v>252</v>
      </c>
      <c r="F6" s="98">
        <v>94</v>
      </c>
      <c r="G6" s="98">
        <v>397</v>
      </c>
      <c r="H6" s="98">
        <v>24</v>
      </c>
      <c r="I6" s="98">
        <v>395</v>
      </c>
      <c r="J6" s="98">
        <v>364</v>
      </c>
      <c r="K6" s="98">
        <v>123</v>
      </c>
      <c r="L6" s="98">
        <v>110</v>
      </c>
      <c r="M6" s="98">
        <v>50</v>
      </c>
    </row>
    <row r="7" spans="1:13" s="77" customFormat="1" ht="15.75" customHeight="1">
      <c r="A7" s="18" t="s">
        <v>136</v>
      </c>
      <c r="B7" s="261">
        <v>1743</v>
      </c>
      <c r="C7" s="98">
        <v>347</v>
      </c>
      <c r="D7" s="98">
        <v>284</v>
      </c>
      <c r="E7" s="98">
        <v>171</v>
      </c>
      <c r="F7" s="98">
        <v>83</v>
      </c>
      <c r="G7" s="98">
        <v>268</v>
      </c>
      <c r="H7" s="98">
        <v>22</v>
      </c>
      <c r="I7" s="98">
        <v>158</v>
      </c>
      <c r="J7" s="98">
        <v>206</v>
      </c>
      <c r="K7" s="98">
        <v>69</v>
      </c>
      <c r="L7" s="98">
        <v>98</v>
      </c>
      <c r="M7" s="98">
        <v>37</v>
      </c>
    </row>
    <row r="8" spans="1:13" s="77" customFormat="1" ht="15.75" customHeight="1">
      <c r="A8" s="18" t="s">
        <v>261</v>
      </c>
      <c r="B8" s="261">
        <v>30</v>
      </c>
      <c r="C8" s="98">
        <v>10</v>
      </c>
      <c r="D8" s="98">
        <v>4</v>
      </c>
      <c r="E8" s="98">
        <v>3</v>
      </c>
      <c r="F8" s="98">
        <v>1</v>
      </c>
      <c r="G8" s="98">
        <v>4</v>
      </c>
      <c r="H8" s="98">
        <v>0</v>
      </c>
      <c r="I8" s="98">
        <v>1</v>
      </c>
      <c r="J8" s="98">
        <v>3</v>
      </c>
      <c r="K8" s="98">
        <v>2</v>
      </c>
      <c r="L8" s="98">
        <v>2</v>
      </c>
      <c r="M8" s="98">
        <v>0</v>
      </c>
    </row>
    <row r="9" spans="1:13" s="77" customFormat="1" ht="15.75" customHeight="1">
      <c r="A9" s="77" t="s">
        <v>148</v>
      </c>
      <c r="B9" s="262">
        <v>12</v>
      </c>
      <c r="C9" s="68">
        <v>5</v>
      </c>
      <c r="D9" s="68">
        <v>3</v>
      </c>
      <c r="E9" s="68">
        <v>2</v>
      </c>
      <c r="F9" s="68">
        <v>1</v>
      </c>
      <c r="G9" s="68">
        <v>0</v>
      </c>
      <c r="H9" s="68">
        <v>0</v>
      </c>
      <c r="I9" s="68">
        <v>0</v>
      </c>
      <c r="J9" s="68">
        <v>0</v>
      </c>
      <c r="K9" s="68">
        <v>1</v>
      </c>
      <c r="L9" s="68">
        <v>0</v>
      </c>
      <c r="M9" s="68">
        <v>0</v>
      </c>
    </row>
    <row r="10" spans="1:13" s="77" customFormat="1" ht="15.75" customHeight="1">
      <c r="A10" s="77" t="s">
        <v>153</v>
      </c>
      <c r="B10" s="262">
        <v>2</v>
      </c>
      <c r="C10" s="68">
        <v>1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1</v>
      </c>
      <c r="K10" s="68">
        <v>0</v>
      </c>
      <c r="L10" s="68">
        <v>0</v>
      </c>
      <c r="M10" s="68">
        <v>0</v>
      </c>
    </row>
    <row r="11" spans="1:13" s="77" customFormat="1" ht="15.75" customHeight="1">
      <c r="A11" s="77" t="s">
        <v>162</v>
      </c>
      <c r="B11" s="262">
        <v>2</v>
      </c>
      <c r="C11" s="68">
        <v>0</v>
      </c>
      <c r="D11" s="68">
        <v>1</v>
      </c>
      <c r="E11" s="68">
        <v>0</v>
      </c>
      <c r="F11" s="68">
        <v>0</v>
      </c>
      <c r="G11" s="68">
        <v>1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</row>
    <row r="12" spans="1:13" s="77" customFormat="1" ht="15.75" customHeight="1">
      <c r="A12" s="77" t="s">
        <v>157</v>
      </c>
      <c r="B12" s="262">
        <v>10</v>
      </c>
      <c r="C12" s="68">
        <v>3</v>
      </c>
      <c r="D12" s="68">
        <v>0</v>
      </c>
      <c r="E12" s="68">
        <v>1</v>
      </c>
      <c r="F12" s="68">
        <v>0</v>
      </c>
      <c r="G12" s="68">
        <v>2</v>
      </c>
      <c r="H12" s="68">
        <v>0</v>
      </c>
      <c r="I12" s="68">
        <v>1</v>
      </c>
      <c r="J12" s="68">
        <v>2</v>
      </c>
      <c r="K12" s="68">
        <v>0</v>
      </c>
      <c r="L12" s="68">
        <v>1</v>
      </c>
      <c r="M12" s="68">
        <v>0</v>
      </c>
    </row>
    <row r="13" spans="1:13" s="77" customFormat="1" ht="15.75" customHeight="1">
      <c r="A13" s="77" t="s">
        <v>164</v>
      </c>
      <c r="B13" s="262">
        <v>2</v>
      </c>
      <c r="C13" s="68">
        <v>1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1</v>
      </c>
      <c r="L13" s="68">
        <v>0</v>
      </c>
      <c r="M13" s="68">
        <v>0</v>
      </c>
    </row>
    <row r="14" spans="1:13" s="77" customFormat="1" ht="15.75" customHeight="1">
      <c r="A14" s="77" t="s">
        <v>160</v>
      </c>
      <c r="B14" s="262">
        <v>1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</row>
    <row r="15" spans="1:13" s="77" customFormat="1" ht="15.75" customHeight="1">
      <c r="A15" s="77" t="s">
        <v>166</v>
      </c>
      <c r="B15" s="262">
        <v>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1</v>
      </c>
      <c r="M15" s="68">
        <v>0</v>
      </c>
    </row>
    <row r="16" spans="1:13" s="77" customFormat="1" ht="15.75" customHeight="1">
      <c r="A16" s="18" t="s">
        <v>276</v>
      </c>
      <c r="B16" s="261">
        <v>1037</v>
      </c>
      <c r="C16" s="98">
        <v>254</v>
      </c>
      <c r="D16" s="98">
        <v>158</v>
      </c>
      <c r="E16" s="98">
        <v>65</v>
      </c>
      <c r="F16" s="98">
        <v>7</v>
      </c>
      <c r="G16" s="98">
        <v>107</v>
      </c>
      <c r="H16" s="98">
        <v>2</v>
      </c>
      <c r="I16" s="98">
        <v>230</v>
      </c>
      <c r="J16" s="98">
        <v>146</v>
      </c>
      <c r="K16" s="98">
        <v>47</v>
      </c>
      <c r="L16" s="98">
        <v>8</v>
      </c>
      <c r="M16" s="98">
        <v>13</v>
      </c>
    </row>
    <row r="17" spans="1:13" s="77" customFormat="1" ht="15.75" customHeight="1">
      <c r="A17" s="77" t="s">
        <v>161</v>
      </c>
      <c r="B17" s="262">
        <v>196</v>
      </c>
      <c r="C17" s="68">
        <v>56</v>
      </c>
      <c r="D17" s="68">
        <v>24</v>
      </c>
      <c r="E17" s="68">
        <v>7</v>
      </c>
      <c r="F17" s="68">
        <v>0</v>
      </c>
      <c r="G17" s="68">
        <v>26</v>
      </c>
      <c r="H17" s="68">
        <v>0</v>
      </c>
      <c r="I17" s="68">
        <v>47</v>
      </c>
      <c r="J17" s="68">
        <v>31</v>
      </c>
      <c r="K17" s="68">
        <v>4</v>
      </c>
      <c r="L17" s="68">
        <v>1</v>
      </c>
      <c r="M17" s="68">
        <v>0</v>
      </c>
    </row>
    <row r="18" spans="1:13" s="77" customFormat="1" ht="15.75" customHeight="1">
      <c r="A18" s="77" t="s">
        <v>240</v>
      </c>
      <c r="B18" s="262">
        <v>242</v>
      </c>
      <c r="C18" s="68">
        <v>71</v>
      </c>
      <c r="D18" s="68">
        <v>37</v>
      </c>
      <c r="E18" s="68">
        <v>21</v>
      </c>
      <c r="F18" s="68">
        <v>2</v>
      </c>
      <c r="G18" s="68">
        <v>22</v>
      </c>
      <c r="H18" s="68">
        <v>0</v>
      </c>
      <c r="I18" s="68">
        <v>54</v>
      </c>
      <c r="J18" s="68">
        <v>18</v>
      </c>
      <c r="K18" s="68">
        <v>10</v>
      </c>
      <c r="L18" s="68">
        <v>7</v>
      </c>
      <c r="M18" s="68">
        <v>0</v>
      </c>
    </row>
    <row r="19" spans="1:13" s="77" customFormat="1" ht="15.75" customHeight="1">
      <c r="A19" s="77" t="s">
        <v>163</v>
      </c>
      <c r="B19" s="262">
        <v>91</v>
      </c>
      <c r="C19" s="68">
        <v>25</v>
      </c>
      <c r="D19" s="68">
        <v>8</v>
      </c>
      <c r="E19" s="68">
        <v>14</v>
      </c>
      <c r="F19" s="68">
        <v>0</v>
      </c>
      <c r="G19" s="68">
        <v>8</v>
      </c>
      <c r="H19" s="68">
        <v>0</v>
      </c>
      <c r="I19" s="68">
        <v>14</v>
      </c>
      <c r="J19" s="68">
        <v>22</v>
      </c>
      <c r="K19" s="68">
        <v>0</v>
      </c>
      <c r="L19" s="68">
        <v>0</v>
      </c>
      <c r="M19" s="68">
        <v>0</v>
      </c>
    </row>
    <row r="20" spans="1:13" s="77" customFormat="1" ht="15.75" customHeight="1">
      <c r="A20" s="77" t="s">
        <v>245</v>
      </c>
      <c r="B20" s="262">
        <v>139</v>
      </c>
      <c r="C20" s="68">
        <v>28</v>
      </c>
      <c r="D20" s="68">
        <v>39</v>
      </c>
      <c r="E20" s="68">
        <v>17</v>
      </c>
      <c r="F20" s="68">
        <v>2</v>
      </c>
      <c r="G20" s="68">
        <v>18</v>
      </c>
      <c r="H20" s="68">
        <v>0</v>
      </c>
      <c r="I20" s="68">
        <v>15</v>
      </c>
      <c r="J20" s="68">
        <v>11</v>
      </c>
      <c r="K20" s="68">
        <v>4</v>
      </c>
      <c r="L20" s="68">
        <v>0</v>
      </c>
      <c r="M20" s="68">
        <v>5</v>
      </c>
    </row>
    <row r="21" spans="1:13" s="77" customFormat="1" ht="15.75" customHeight="1">
      <c r="A21" s="77" t="s">
        <v>165</v>
      </c>
      <c r="B21" s="262">
        <v>354</v>
      </c>
      <c r="C21" s="68">
        <v>68</v>
      </c>
      <c r="D21" s="68">
        <v>49</v>
      </c>
      <c r="E21" s="68">
        <v>4</v>
      </c>
      <c r="F21" s="68">
        <v>3</v>
      </c>
      <c r="G21" s="68">
        <v>31</v>
      </c>
      <c r="H21" s="68">
        <v>0</v>
      </c>
      <c r="I21" s="68">
        <v>99</v>
      </c>
      <c r="J21" s="68">
        <v>63</v>
      </c>
      <c r="K21" s="68">
        <v>29</v>
      </c>
      <c r="L21" s="68">
        <v>0</v>
      </c>
      <c r="M21" s="68">
        <v>8</v>
      </c>
    </row>
    <row r="22" spans="1:13" s="77" customFormat="1" ht="15.75" customHeight="1">
      <c r="A22" s="77" t="s">
        <v>166</v>
      </c>
      <c r="B22" s="262">
        <v>15</v>
      </c>
      <c r="C22" s="68">
        <v>6</v>
      </c>
      <c r="D22" s="68">
        <v>1</v>
      </c>
      <c r="E22" s="68">
        <v>2</v>
      </c>
      <c r="F22" s="68">
        <v>0</v>
      </c>
      <c r="G22" s="68">
        <v>2</v>
      </c>
      <c r="H22" s="68">
        <v>2</v>
      </c>
      <c r="I22" s="68">
        <v>1</v>
      </c>
      <c r="J22" s="68">
        <v>1</v>
      </c>
      <c r="K22" s="68">
        <v>0</v>
      </c>
      <c r="L22" s="68">
        <v>0</v>
      </c>
      <c r="M22" s="68">
        <v>0</v>
      </c>
    </row>
    <row r="23" spans="1:13" s="77" customFormat="1" ht="15.75" customHeight="1">
      <c r="A23" s="18" t="s">
        <v>277</v>
      </c>
      <c r="B23" s="261">
        <v>21</v>
      </c>
      <c r="C23" s="98">
        <v>3</v>
      </c>
      <c r="D23" s="98">
        <v>6</v>
      </c>
      <c r="E23" s="98">
        <v>1</v>
      </c>
      <c r="F23" s="98">
        <v>0</v>
      </c>
      <c r="G23" s="98">
        <v>5</v>
      </c>
      <c r="H23" s="98">
        <v>0</v>
      </c>
      <c r="I23" s="98">
        <v>3</v>
      </c>
      <c r="J23" s="98">
        <v>2</v>
      </c>
      <c r="K23" s="98">
        <v>1</v>
      </c>
      <c r="L23" s="98">
        <v>0</v>
      </c>
      <c r="M23" s="98">
        <v>0</v>
      </c>
    </row>
    <row r="24" spans="1:13" s="77" customFormat="1" ht="15.75" customHeight="1">
      <c r="A24" s="18" t="s">
        <v>278</v>
      </c>
      <c r="B24" s="261">
        <v>37</v>
      </c>
      <c r="C24" s="98">
        <v>20</v>
      </c>
      <c r="D24" s="98">
        <v>3</v>
      </c>
      <c r="E24" s="98">
        <v>1</v>
      </c>
      <c r="F24" s="98">
        <v>3</v>
      </c>
      <c r="G24" s="98">
        <v>3</v>
      </c>
      <c r="H24" s="98">
        <v>0</v>
      </c>
      <c r="I24" s="98">
        <v>2</v>
      </c>
      <c r="J24" s="98">
        <v>2</v>
      </c>
      <c r="K24" s="98">
        <v>1</v>
      </c>
      <c r="L24" s="98">
        <v>2</v>
      </c>
      <c r="M24" s="98">
        <v>0</v>
      </c>
    </row>
    <row r="25" spans="1:13" s="77" customFormat="1" ht="15.75" customHeight="1">
      <c r="A25" s="77" t="s">
        <v>194</v>
      </c>
      <c r="B25" s="262">
        <v>5</v>
      </c>
      <c r="C25" s="68">
        <v>1</v>
      </c>
      <c r="D25" s="68">
        <v>0</v>
      </c>
      <c r="E25" s="68">
        <v>0</v>
      </c>
      <c r="F25" s="68">
        <v>1</v>
      </c>
      <c r="G25" s="68">
        <v>1</v>
      </c>
      <c r="H25" s="68">
        <v>0</v>
      </c>
      <c r="I25" s="68">
        <v>1</v>
      </c>
      <c r="J25" s="68">
        <v>0</v>
      </c>
      <c r="K25" s="68">
        <v>0</v>
      </c>
      <c r="L25" s="68">
        <v>1</v>
      </c>
      <c r="M25" s="68">
        <v>0</v>
      </c>
    </row>
    <row r="26" spans="1:13" s="77" customFormat="1" ht="15.75" customHeight="1">
      <c r="A26" s="77" t="s">
        <v>172</v>
      </c>
      <c r="B26" s="262">
        <v>9</v>
      </c>
      <c r="C26" s="68">
        <v>5</v>
      </c>
      <c r="D26" s="68">
        <v>1</v>
      </c>
      <c r="E26" s="68">
        <v>0</v>
      </c>
      <c r="F26" s="68">
        <v>2</v>
      </c>
      <c r="G26" s="68">
        <v>0</v>
      </c>
      <c r="H26" s="68">
        <v>0</v>
      </c>
      <c r="I26" s="68">
        <v>0</v>
      </c>
      <c r="J26" s="68">
        <v>1</v>
      </c>
      <c r="K26" s="68">
        <v>0</v>
      </c>
      <c r="L26" s="68">
        <v>0</v>
      </c>
      <c r="M26" s="68">
        <v>0</v>
      </c>
    </row>
    <row r="27" spans="1:13" s="77" customFormat="1" ht="15.75" customHeight="1">
      <c r="A27" s="77" t="s">
        <v>166</v>
      </c>
      <c r="B27" s="262">
        <v>23</v>
      </c>
      <c r="C27" s="68">
        <v>14</v>
      </c>
      <c r="D27" s="68">
        <v>2</v>
      </c>
      <c r="E27" s="68">
        <v>1</v>
      </c>
      <c r="F27" s="68">
        <v>0</v>
      </c>
      <c r="G27" s="68">
        <v>2</v>
      </c>
      <c r="H27" s="68">
        <v>0</v>
      </c>
      <c r="I27" s="68">
        <v>1</v>
      </c>
      <c r="J27" s="68">
        <v>1</v>
      </c>
      <c r="K27" s="68">
        <v>1</v>
      </c>
      <c r="L27" s="68">
        <v>1</v>
      </c>
      <c r="M27" s="68">
        <v>0</v>
      </c>
    </row>
    <row r="28" spans="1:13" s="77" customFormat="1" ht="15.75" customHeight="1">
      <c r="A28" s="18" t="s">
        <v>279</v>
      </c>
      <c r="B28" s="262">
        <v>48</v>
      </c>
      <c r="C28" s="68">
        <v>11</v>
      </c>
      <c r="D28" s="68">
        <v>7</v>
      </c>
      <c r="E28" s="68">
        <v>11</v>
      </c>
      <c r="F28" s="68">
        <v>0</v>
      </c>
      <c r="G28" s="68">
        <v>10</v>
      </c>
      <c r="H28" s="68">
        <v>0</v>
      </c>
      <c r="I28" s="68">
        <v>1</v>
      </c>
      <c r="J28" s="68">
        <v>5</v>
      </c>
      <c r="K28" s="68">
        <v>3</v>
      </c>
      <c r="L28" s="68">
        <v>0</v>
      </c>
      <c r="M28" s="68">
        <v>0</v>
      </c>
    </row>
    <row r="29" spans="1:13" s="77" customFormat="1" ht="15.75" customHeight="1">
      <c r="A29" s="77" t="s">
        <v>281</v>
      </c>
      <c r="B29" s="262">
        <v>22</v>
      </c>
      <c r="C29" s="68">
        <v>1</v>
      </c>
      <c r="D29" s="68">
        <v>6</v>
      </c>
      <c r="E29" s="68">
        <v>9</v>
      </c>
      <c r="F29" s="68">
        <v>0</v>
      </c>
      <c r="G29" s="68">
        <v>6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</row>
    <row r="30" spans="1:13" s="77" customFormat="1" ht="15.75" customHeight="1">
      <c r="A30" s="77" t="s">
        <v>190</v>
      </c>
      <c r="B30" s="262">
        <v>5</v>
      </c>
      <c r="C30" s="68">
        <v>1</v>
      </c>
      <c r="D30" s="68">
        <v>0</v>
      </c>
      <c r="E30" s="68">
        <v>1</v>
      </c>
      <c r="F30" s="68">
        <v>0</v>
      </c>
      <c r="G30" s="68">
        <v>2</v>
      </c>
      <c r="H30" s="68">
        <v>0</v>
      </c>
      <c r="I30" s="68">
        <v>1</v>
      </c>
      <c r="J30" s="68">
        <v>0</v>
      </c>
      <c r="K30" s="68">
        <v>0</v>
      </c>
      <c r="L30" s="68">
        <v>0</v>
      </c>
      <c r="M30" s="68">
        <v>0</v>
      </c>
    </row>
    <row r="31" spans="1:13" s="77" customFormat="1" ht="15.75" customHeight="1">
      <c r="A31" s="77" t="s">
        <v>166</v>
      </c>
      <c r="B31" s="262">
        <v>21</v>
      </c>
      <c r="C31" s="68">
        <v>9</v>
      </c>
      <c r="D31" s="68">
        <v>1</v>
      </c>
      <c r="E31" s="68">
        <v>1</v>
      </c>
      <c r="F31" s="68">
        <v>0</v>
      </c>
      <c r="G31" s="68">
        <v>2</v>
      </c>
      <c r="H31" s="68">
        <v>0</v>
      </c>
      <c r="I31" s="68">
        <v>0</v>
      </c>
      <c r="J31" s="68">
        <v>5</v>
      </c>
      <c r="K31" s="68">
        <v>3</v>
      </c>
      <c r="L31" s="68">
        <v>0</v>
      </c>
      <c r="M31" s="68">
        <v>0</v>
      </c>
    </row>
    <row r="32" spans="1:13" s="77" customFormat="1" ht="15.75" customHeight="1" thickBot="1">
      <c r="A32" s="106" t="s">
        <v>280</v>
      </c>
      <c r="B32" s="266">
        <v>1</v>
      </c>
      <c r="C32" s="99">
        <v>1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</row>
    <row r="33" spans="1:13" ht="12.75">
      <c r="A33" s="391" t="s">
        <v>635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</row>
  </sheetData>
  <sheetProtection/>
  <mergeCells count="5">
    <mergeCell ref="A1:M1"/>
    <mergeCell ref="A2:M2"/>
    <mergeCell ref="A3:M3"/>
    <mergeCell ref="C4:M4"/>
    <mergeCell ref="A33:M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="85" zoomScaleNormal="85" zoomScalePageLayoutView="0" workbookViewId="0" topLeftCell="A1">
      <selection activeCell="B34" sqref="B34"/>
    </sheetView>
  </sheetViews>
  <sheetFormatPr defaultColWidth="11.421875" defaultRowHeight="12.75"/>
  <cols>
    <col min="1" max="1" width="24.28125" style="149" bestFit="1" customWidth="1"/>
    <col min="2" max="2" width="7.8515625" style="149" bestFit="1" customWidth="1"/>
    <col min="3" max="3" width="23.28125" style="149" bestFit="1" customWidth="1"/>
    <col min="4" max="7" width="17.57421875" style="149" bestFit="1" customWidth="1"/>
    <col min="8" max="8" width="21.28125" style="149" bestFit="1" customWidth="1"/>
    <col min="9" max="16384" width="11.421875" style="149" customWidth="1"/>
  </cols>
  <sheetData>
    <row r="1" spans="1:8" s="164" customFormat="1" ht="18" customHeight="1">
      <c r="A1" s="407" t="s">
        <v>343</v>
      </c>
      <c r="B1" s="407"/>
      <c r="C1" s="407"/>
      <c r="D1" s="407"/>
      <c r="E1" s="407"/>
      <c r="F1" s="407"/>
      <c r="G1" s="407"/>
      <c r="H1" s="407"/>
    </row>
    <row r="2" spans="1:8" s="164" customFormat="1" ht="16.5" customHeight="1">
      <c r="A2" s="416" t="s">
        <v>528</v>
      </c>
      <c r="B2" s="416"/>
      <c r="C2" s="416"/>
      <c r="D2" s="416"/>
      <c r="E2" s="416"/>
      <c r="F2" s="416"/>
      <c r="G2" s="416"/>
      <c r="H2" s="416"/>
    </row>
    <row r="3" spans="1:8" s="41" customFormat="1" ht="15.75" customHeight="1" thickBot="1">
      <c r="A3" s="405" t="s">
        <v>482</v>
      </c>
      <c r="B3" s="405"/>
      <c r="C3" s="405"/>
      <c r="D3" s="405"/>
      <c r="E3" s="405"/>
      <c r="F3" s="405"/>
      <c r="G3" s="405"/>
      <c r="H3" s="405"/>
    </row>
    <row r="4" spans="1:8" s="41" customFormat="1" ht="15.75" customHeight="1">
      <c r="A4" s="417"/>
      <c r="B4" s="339" t="s">
        <v>134</v>
      </c>
      <c r="C4" s="411" t="s">
        <v>344</v>
      </c>
      <c r="D4" s="411"/>
      <c r="E4" s="411"/>
      <c r="F4" s="411"/>
      <c r="G4" s="411"/>
      <c r="H4" s="411"/>
    </row>
    <row r="5" spans="1:8" s="41" customFormat="1" ht="15.75" customHeight="1">
      <c r="A5" s="417"/>
      <c r="B5" s="340"/>
      <c r="C5" s="335" t="s">
        <v>345</v>
      </c>
      <c r="D5" s="335" t="s">
        <v>346</v>
      </c>
      <c r="E5" s="335" t="s">
        <v>347</v>
      </c>
      <c r="F5" s="335" t="s">
        <v>348</v>
      </c>
      <c r="G5" s="335" t="s">
        <v>349</v>
      </c>
      <c r="H5" s="335" t="s">
        <v>350</v>
      </c>
    </row>
    <row r="6" spans="1:8" s="41" customFormat="1" ht="15.75" customHeight="1">
      <c r="A6" s="141" t="s">
        <v>134</v>
      </c>
      <c r="B6" s="261">
        <v>2917</v>
      </c>
      <c r="C6" s="98">
        <v>226</v>
      </c>
      <c r="D6" s="98">
        <v>312</v>
      </c>
      <c r="E6" s="98">
        <v>230</v>
      </c>
      <c r="F6" s="98">
        <v>889</v>
      </c>
      <c r="G6" s="98">
        <v>512</v>
      </c>
      <c r="H6" s="98">
        <v>748</v>
      </c>
    </row>
    <row r="7" spans="1:8" s="41" customFormat="1" ht="15.75" customHeight="1">
      <c r="A7" s="93" t="s">
        <v>136</v>
      </c>
      <c r="B7" s="261">
        <v>1743</v>
      </c>
      <c r="C7" s="98">
        <v>135</v>
      </c>
      <c r="D7" s="98">
        <v>157</v>
      </c>
      <c r="E7" s="98">
        <v>81</v>
      </c>
      <c r="F7" s="98">
        <v>315</v>
      </c>
      <c r="G7" s="98">
        <v>385</v>
      </c>
      <c r="H7" s="98">
        <v>670</v>
      </c>
    </row>
    <row r="8" spans="1:8" s="41" customFormat="1" ht="15.75" customHeight="1">
      <c r="A8" s="93" t="s">
        <v>261</v>
      </c>
      <c r="B8" s="261">
        <v>30</v>
      </c>
      <c r="C8" s="98">
        <v>4</v>
      </c>
      <c r="D8" s="98">
        <v>6</v>
      </c>
      <c r="E8" s="98">
        <v>5</v>
      </c>
      <c r="F8" s="98">
        <v>11</v>
      </c>
      <c r="G8" s="98">
        <v>2</v>
      </c>
      <c r="H8" s="98">
        <v>2</v>
      </c>
    </row>
    <row r="9" spans="1:8" s="41" customFormat="1" ht="15.75" customHeight="1">
      <c r="A9" s="67" t="s">
        <v>148</v>
      </c>
      <c r="B9" s="262">
        <v>12</v>
      </c>
      <c r="C9" s="68">
        <v>3</v>
      </c>
      <c r="D9" s="68">
        <v>5</v>
      </c>
      <c r="E9" s="68">
        <v>0</v>
      </c>
      <c r="F9" s="68">
        <v>3</v>
      </c>
      <c r="G9" s="68">
        <v>0</v>
      </c>
      <c r="H9" s="68">
        <v>1</v>
      </c>
    </row>
    <row r="10" spans="1:8" s="41" customFormat="1" ht="15.75" customHeight="1">
      <c r="A10" s="67" t="s">
        <v>153</v>
      </c>
      <c r="B10" s="262">
        <v>2</v>
      </c>
      <c r="C10" s="68">
        <v>0</v>
      </c>
      <c r="D10" s="68">
        <v>0</v>
      </c>
      <c r="E10" s="68">
        <v>1</v>
      </c>
      <c r="F10" s="68">
        <v>1</v>
      </c>
      <c r="G10" s="68">
        <v>0</v>
      </c>
      <c r="H10" s="68">
        <v>0</v>
      </c>
    </row>
    <row r="11" spans="1:8" s="41" customFormat="1" ht="15.75" customHeight="1">
      <c r="A11" s="67" t="s">
        <v>162</v>
      </c>
      <c r="B11" s="262">
        <v>2</v>
      </c>
      <c r="C11" s="68">
        <v>0</v>
      </c>
      <c r="D11" s="68">
        <v>1</v>
      </c>
      <c r="E11" s="68">
        <v>0</v>
      </c>
      <c r="F11" s="68">
        <v>1</v>
      </c>
      <c r="G11" s="68">
        <v>0</v>
      </c>
      <c r="H11" s="68">
        <v>0</v>
      </c>
    </row>
    <row r="12" spans="1:8" s="41" customFormat="1" ht="15.75" customHeight="1">
      <c r="A12" s="67" t="s">
        <v>157</v>
      </c>
      <c r="B12" s="262">
        <v>10</v>
      </c>
      <c r="C12" s="68">
        <v>1</v>
      </c>
      <c r="D12" s="68">
        <v>0</v>
      </c>
      <c r="E12" s="68">
        <v>3</v>
      </c>
      <c r="F12" s="68">
        <v>5</v>
      </c>
      <c r="G12" s="68">
        <v>1</v>
      </c>
      <c r="H12" s="68">
        <v>0</v>
      </c>
    </row>
    <row r="13" spans="1:8" s="41" customFormat="1" ht="15.75" customHeight="1">
      <c r="A13" s="67" t="s">
        <v>164</v>
      </c>
      <c r="B13" s="262">
        <v>2</v>
      </c>
      <c r="C13" s="68">
        <v>0</v>
      </c>
      <c r="D13" s="68">
        <v>0</v>
      </c>
      <c r="E13" s="68">
        <v>1</v>
      </c>
      <c r="F13" s="68">
        <v>0</v>
      </c>
      <c r="G13" s="68">
        <v>1</v>
      </c>
      <c r="H13" s="68">
        <v>0</v>
      </c>
    </row>
    <row r="14" spans="1:8" s="41" customFormat="1" ht="15.75" customHeight="1">
      <c r="A14" s="67" t="s">
        <v>160</v>
      </c>
      <c r="B14" s="262">
        <v>1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1</v>
      </c>
    </row>
    <row r="15" spans="1:8" s="41" customFormat="1" ht="15.75" customHeight="1">
      <c r="A15" s="67" t="s">
        <v>166</v>
      </c>
      <c r="B15" s="262">
        <v>1</v>
      </c>
      <c r="C15" s="68">
        <v>0</v>
      </c>
      <c r="D15" s="68">
        <v>0</v>
      </c>
      <c r="E15" s="68">
        <v>0</v>
      </c>
      <c r="F15" s="68">
        <v>1</v>
      </c>
      <c r="G15" s="68">
        <v>0</v>
      </c>
      <c r="H15" s="68">
        <v>0</v>
      </c>
    </row>
    <row r="16" spans="1:8" s="41" customFormat="1" ht="15.75" customHeight="1">
      <c r="A16" s="93" t="s">
        <v>276</v>
      </c>
      <c r="B16" s="261">
        <v>1037</v>
      </c>
      <c r="C16" s="98">
        <v>52</v>
      </c>
      <c r="D16" s="98">
        <v>121</v>
      </c>
      <c r="E16" s="98">
        <v>130</v>
      </c>
      <c r="F16" s="98">
        <v>534</v>
      </c>
      <c r="G16" s="98">
        <v>124</v>
      </c>
      <c r="H16" s="98">
        <v>76</v>
      </c>
    </row>
    <row r="17" spans="1:8" s="41" customFormat="1" ht="15.75" customHeight="1">
      <c r="A17" s="67" t="s">
        <v>161</v>
      </c>
      <c r="B17" s="262">
        <v>196</v>
      </c>
      <c r="C17" s="68">
        <v>5</v>
      </c>
      <c r="D17" s="68">
        <v>14</v>
      </c>
      <c r="E17" s="68">
        <v>26</v>
      </c>
      <c r="F17" s="68">
        <v>101</v>
      </c>
      <c r="G17" s="68">
        <v>24</v>
      </c>
      <c r="H17" s="68">
        <v>26</v>
      </c>
    </row>
    <row r="18" spans="1:8" s="41" customFormat="1" ht="15.75" customHeight="1">
      <c r="A18" s="67" t="s">
        <v>240</v>
      </c>
      <c r="B18" s="262">
        <v>242</v>
      </c>
      <c r="C18" s="68">
        <v>23</v>
      </c>
      <c r="D18" s="68">
        <v>51</v>
      </c>
      <c r="E18" s="68">
        <v>42</v>
      </c>
      <c r="F18" s="68">
        <v>119</v>
      </c>
      <c r="G18" s="68">
        <v>6</v>
      </c>
      <c r="H18" s="68">
        <v>1</v>
      </c>
    </row>
    <row r="19" spans="1:8" s="41" customFormat="1" ht="15.75" customHeight="1">
      <c r="A19" s="67" t="s">
        <v>163</v>
      </c>
      <c r="B19" s="262">
        <v>91</v>
      </c>
      <c r="C19" s="68">
        <v>7</v>
      </c>
      <c r="D19" s="68">
        <v>8</v>
      </c>
      <c r="E19" s="68">
        <v>13</v>
      </c>
      <c r="F19" s="68">
        <v>52</v>
      </c>
      <c r="G19" s="68">
        <v>8</v>
      </c>
      <c r="H19" s="68">
        <v>3</v>
      </c>
    </row>
    <row r="20" spans="1:8" s="41" customFormat="1" ht="15.75" customHeight="1">
      <c r="A20" s="67" t="s">
        <v>245</v>
      </c>
      <c r="B20" s="262">
        <v>139</v>
      </c>
      <c r="C20" s="68">
        <v>8</v>
      </c>
      <c r="D20" s="68">
        <v>24</v>
      </c>
      <c r="E20" s="68">
        <v>16</v>
      </c>
      <c r="F20" s="68">
        <v>76</v>
      </c>
      <c r="G20" s="68">
        <v>8</v>
      </c>
      <c r="H20" s="68">
        <v>7</v>
      </c>
    </row>
    <row r="21" spans="1:8" s="41" customFormat="1" ht="15.75" customHeight="1">
      <c r="A21" s="67" t="s">
        <v>165</v>
      </c>
      <c r="B21" s="262">
        <v>354</v>
      </c>
      <c r="C21" s="68">
        <v>3</v>
      </c>
      <c r="D21" s="68">
        <v>19</v>
      </c>
      <c r="E21" s="68">
        <v>33</v>
      </c>
      <c r="F21" s="68">
        <v>182</v>
      </c>
      <c r="G21" s="68">
        <v>78</v>
      </c>
      <c r="H21" s="68">
        <v>39</v>
      </c>
    </row>
    <row r="22" spans="1:8" s="41" customFormat="1" ht="15.75" customHeight="1">
      <c r="A22" s="67" t="s">
        <v>166</v>
      </c>
      <c r="B22" s="262">
        <v>15</v>
      </c>
      <c r="C22" s="68">
        <v>6</v>
      </c>
      <c r="D22" s="68">
        <v>5</v>
      </c>
      <c r="E22" s="68">
        <v>0</v>
      </c>
      <c r="F22" s="68">
        <v>4</v>
      </c>
      <c r="G22" s="68">
        <v>0</v>
      </c>
      <c r="H22" s="68">
        <v>0</v>
      </c>
    </row>
    <row r="23" spans="1:8" s="41" customFormat="1" ht="15.75" customHeight="1">
      <c r="A23" s="93" t="s">
        <v>277</v>
      </c>
      <c r="B23" s="261">
        <v>21</v>
      </c>
      <c r="C23" s="98">
        <v>12</v>
      </c>
      <c r="D23" s="98">
        <v>7</v>
      </c>
      <c r="E23" s="98">
        <v>1</v>
      </c>
      <c r="F23" s="98">
        <v>1</v>
      </c>
      <c r="G23" s="98">
        <v>0</v>
      </c>
      <c r="H23" s="98">
        <v>0</v>
      </c>
    </row>
    <row r="24" spans="1:8" s="41" customFormat="1" ht="15.75" customHeight="1">
      <c r="A24" s="93" t="s">
        <v>278</v>
      </c>
      <c r="B24" s="261">
        <v>37</v>
      </c>
      <c r="C24" s="98">
        <v>9</v>
      </c>
      <c r="D24" s="98">
        <v>9</v>
      </c>
      <c r="E24" s="98">
        <v>7</v>
      </c>
      <c r="F24" s="98">
        <v>12</v>
      </c>
      <c r="G24" s="98">
        <v>0</v>
      </c>
      <c r="H24" s="98">
        <v>0</v>
      </c>
    </row>
    <row r="25" spans="1:8" s="41" customFormat="1" ht="15.75" customHeight="1">
      <c r="A25" s="67" t="s">
        <v>194</v>
      </c>
      <c r="B25" s="262">
        <v>5</v>
      </c>
      <c r="C25" s="68">
        <v>2</v>
      </c>
      <c r="D25" s="68">
        <v>0</v>
      </c>
      <c r="E25" s="68">
        <v>0</v>
      </c>
      <c r="F25" s="68">
        <v>3</v>
      </c>
      <c r="G25" s="68">
        <v>0</v>
      </c>
      <c r="H25" s="68">
        <v>0</v>
      </c>
    </row>
    <row r="26" spans="1:8" s="41" customFormat="1" ht="15.75" customHeight="1">
      <c r="A26" s="67" t="s">
        <v>172</v>
      </c>
      <c r="B26" s="262">
        <v>9</v>
      </c>
      <c r="C26" s="68">
        <v>3</v>
      </c>
      <c r="D26" s="68">
        <v>2</v>
      </c>
      <c r="E26" s="68">
        <v>1</v>
      </c>
      <c r="F26" s="68">
        <v>3</v>
      </c>
      <c r="G26" s="68">
        <v>0</v>
      </c>
      <c r="H26" s="68">
        <v>0</v>
      </c>
    </row>
    <row r="27" spans="1:8" s="41" customFormat="1" ht="15.75" customHeight="1">
      <c r="A27" s="67" t="s">
        <v>166</v>
      </c>
      <c r="B27" s="262">
        <v>23</v>
      </c>
      <c r="C27" s="68">
        <v>4</v>
      </c>
      <c r="D27" s="68">
        <v>7</v>
      </c>
      <c r="E27" s="68">
        <v>6</v>
      </c>
      <c r="F27" s="68">
        <v>6</v>
      </c>
      <c r="G27" s="68">
        <v>0</v>
      </c>
      <c r="H27" s="68">
        <v>0</v>
      </c>
    </row>
    <row r="28" spans="1:8" s="41" customFormat="1" ht="15.75" customHeight="1">
      <c r="A28" s="93" t="s">
        <v>279</v>
      </c>
      <c r="B28" s="261">
        <v>48</v>
      </c>
      <c r="C28" s="98">
        <v>13</v>
      </c>
      <c r="D28" s="98">
        <v>12</v>
      </c>
      <c r="E28" s="98">
        <v>6</v>
      </c>
      <c r="F28" s="98">
        <v>16</v>
      </c>
      <c r="G28" s="98">
        <v>1</v>
      </c>
      <c r="H28" s="98">
        <v>0</v>
      </c>
    </row>
    <row r="29" spans="1:8" s="41" customFormat="1" ht="15.75" customHeight="1">
      <c r="A29" s="67" t="s">
        <v>281</v>
      </c>
      <c r="B29" s="262">
        <v>22</v>
      </c>
      <c r="C29" s="68">
        <v>3</v>
      </c>
      <c r="D29" s="68">
        <v>4</v>
      </c>
      <c r="E29" s="68">
        <v>4</v>
      </c>
      <c r="F29" s="68">
        <v>11</v>
      </c>
      <c r="G29" s="68">
        <v>0</v>
      </c>
      <c r="H29" s="68">
        <v>0</v>
      </c>
    </row>
    <row r="30" spans="1:8" s="41" customFormat="1" ht="15.75" customHeight="1">
      <c r="A30" s="41" t="s">
        <v>190</v>
      </c>
      <c r="B30" s="267">
        <v>5</v>
      </c>
      <c r="C30" s="41">
        <v>1</v>
      </c>
      <c r="D30" s="68">
        <v>0</v>
      </c>
      <c r="E30" s="68">
        <v>1</v>
      </c>
      <c r="F30" s="68">
        <v>3</v>
      </c>
      <c r="G30" s="68">
        <v>0</v>
      </c>
      <c r="H30" s="68">
        <v>0</v>
      </c>
    </row>
    <row r="31" spans="1:8" s="41" customFormat="1" ht="15.75" customHeight="1">
      <c r="A31" s="41" t="s">
        <v>166</v>
      </c>
      <c r="B31" s="267">
        <v>21</v>
      </c>
      <c r="C31" s="41">
        <v>9</v>
      </c>
      <c r="D31" s="68">
        <v>8</v>
      </c>
      <c r="E31" s="68">
        <v>1</v>
      </c>
      <c r="F31" s="68">
        <v>2</v>
      </c>
      <c r="G31" s="68">
        <v>1</v>
      </c>
      <c r="H31" s="68">
        <v>0</v>
      </c>
    </row>
    <row r="32" spans="1:13" s="41" customFormat="1" ht="15.75" customHeight="1" thickBot="1">
      <c r="A32" s="165" t="s">
        <v>280</v>
      </c>
      <c r="B32" s="268">
        <v>1</v>
      </c>
      <c r="C32" s="165">
        <v>1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42"/>
      <c r="J32" s="42"/>
      <c r="K32" s="42"/>
      <c r="L32" s="42"/>
      <c r="M32" s="42"/>
    </row>
    <row r="33" spans="1:13" ht="14.25">
      <c r="A33" s="391" t="s">
        <v>635</v>
      </c>
      <c r="B33" s="391"/>
      <c r="C33" s="391"/>
      <c r="D33" s="391"/>
      <c r="E33" s="391"/>
      <c r="F33" s="391"/>
      <c r="G33" s="391"/>
      <c r="H33" s="391"/>
      <c r="I33" s="181"/>
      <c r="J33" s="181"/>
      <c r="K33" s="181"/>
      <c r="L33" s="181"/>
      <c r="M33" s="181"/>
    </row>
  </sheetData>
  <sheetProtection/>
  <mergeCells count="6">
    <mergeCell ref="A1:H1"/>
    <mergeCell ref="A2:H2"/>
    <mergeCell ref="A3:H3"/>
    <mergeCell ref="A4:A5"/>
    <mergeCell ref="C4:H4"/>
    <mergeCell ref="A33:H33"/>
  </mergeCells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="85" zoomScaleNormal="85" zoomScalePageLayoutView="0" workbookViewId="0" topLeftCell="A1">
      <selection activeCell="E40" sqref="E40"/>
    </sheetView>
  </sheetViews>
  <sheetFormatPr defaultColWidth="11.421875" defaultRowHeight="12.75"/>
  <cols>
    <col min="1" max="1" width="24.28125" style="74" bestFit="1" customWidth="1"/>
    <col min="2" max="2" width="7.57421875" style="74" bestFit="1" customWidth="1"/>
    <col min="3" max="3" width="7.8515625" style="74" bestFit="1" customWidth="1"/>
    <col min="4" max="4" width="9.28125" style="74" bestFit="1" customWidth="1"/>
    <col min="5" max="5" width="8.8515625" style="74" bestFit="1" customWidth="1"/>
    <col min="6" max="6" width="14.140625" style="74" bestFit="1" customWidth="1"/>
    <col min="7" max="7" width="9.28125" style="74" bestFit="1" customWidth="1"/>
    <col min="8" max="8" width="9.7109375" style="74" bestFit="1" customWidth="1"/>
    <col min="9" max="9" width="9.00390625" style="74" bestFit="1" customWidth="1"/>
    <col min="10" max="10" width="9.28125" style="74" bestFit="1" customWidth="1"/>
    <col min="11" max="11" width="10.28125" style="74" bestFit="1" customWidth="1"/>
    <col min="12" max="12" width="9.28125" style="74" bestFit="1" customWidth="1"/>
    <col min="13" max="13" width="15.140625" style="74" bestFit="1" customWidth="1"/>
    <col min="14" max="16384" width="11.421875" style="74" customWidth="1"/>
  </cols>
  <sheetData>
    <row r="1" spans="1:13" ht="18" customHeight="1">
      <c r="A1" s="412" t="s">
        <v>351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6.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s="77" customFormat="1" ht="15.75" customHeight="1" thickBot="1">
      <c r="A3" s="414" t="s">
        <v>483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s="77" customFormat="1" ht="15.75" customHeight="1">
      <c r="A4" s="79"/>
      <c r="B4" s="341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s="77" customFormat="1" ht="15.75" customHeight="1">
      <c r="A5" s="79"/>
      <c r="B5" s="342"/>
      <c r="C5" s="343" t="s">
        <v>123</v>
      </c>
      <c r="D5" s="343" t="s">
        <v>124</v>
      </c>
      <c r="E5" s="343" t="s">
        <v>125</v>
      </c>
      <c r="F5" s="343" t="s">
        <v>126</v>
      </c>
      <c r="G5" s="343" t="s">
        <v>127</v>
      </c>
      <c r="H5" s="343" t="s">
        <v>128</v>
      </c>
      <c r="I5" s="343" t="s">
        <v>129</v>
      </c>
      <c r="J5" s="343" t="s">
        <v>130</v>
      </c>
      <c r="K5" s="343" t="s">
        <v>131</v>
      </c>
      <c r="L5" s="343" t="s">
        <v>132</v>
      </c>
      <c r="M5" s="343" t="s">
        <v>133</v>
      </c>
    </row>
    <row r="6" spans="1:13" s="77" customFormat="1" ht="15.75" customHeight="1">
      <c r="A6" s="79" t="s">
        <v>134</v>
      </c>
      <c r="B6" s="269">
        <v>6372</v>
      </c>
      <c r="C6" s="100">
        <v>1043</v>
      </c>
      <c r="D6" s="100">
        <v>881</v>
      </c>
      <c r="E6" s="100">
        <v>636</v>
      </c>
      <c r="F6" s="100">
        <v>262</v>
      </c>
      <c r="G6" s="100">
        <v>1252</v>
      </c>
      <c r="H6" s="100">
        <v>63</v>
      </c>
      <c r="I6" s="100">
        <v>700</v>
      </c>
      <c r="J6" s="100">
        <v>800</v>
      </c>
      <c r="K6" s="100">
        <v>273</v>
      </c>
      <c r="L6" s="100">
        <v>318</v>
      </c>
      <c r="M6" s="100">
        <v>144</v>
      </c>
    </row>
    <row r="7" spans="1:13" s="77" customFormat="1" ht="15.75" customHeight="1">
      <c r="A7" s="93" t="s">
        <v>136</v>
      </c>
      <c r="B7" s="269">
        <v>1048</v>
      </c>
      <c r="C7" s="100">
        <v>126</v>
      </c>
      <c r="D7" s="100">
        <v>174</v>
      </c>
      <c r="E7" s="100">
        <v>150</v>
      </c>
      <c r="F7" s="100">
        <v>61</v>
      </c>
      <c r="G7" s="100">
        <v>136</v>
      </c>
      <c r="H7" s="100">
        <v>12</v>
      </c>
      <c r="I7" s="100">
        <v>115</v>
      </c>
      <c r="J7" s="100">
        <v>105</v>
      </c>
      <c r="K7" s="100">
        <v>47</v>
      </c>
      <c r="L7" s="100">
        <v>89</v>
      </c>
      <c r="M7" s="100">
        <v>33</v>
      </c>
    </row>
    <row r="8" spans="1:13" s="77" customFormat="1" ht="15.75" customHeight="1">
      <c r="A8" s="93" t="s">
        <v>261</v>
      </c>
      <c r="B8" s="269">
        <v>4932</v>
      </c>
      <c r="C8" s="100">
        <v>855</v>
      </c>
      <c r="D8" s="100">
        <v>653</v>
      </c>
      <c r="E8" s="100">
        <v>462</v>
      </c>
      <c r="F8" s="100">
        <v>192</v>
      </c>
      <c r="G8" s="100">
        <v>1056</v>
      </c>
      <c r="H8" s="100">
        <v>47</v>
      </c>
      <c r="I8" s="100">
        <v>499</v>
      </c>
      <c r="J8" s="100">
        <v>647</v>
      </c>
      <c r="K8" s="100">
        <v>209</v>
      </c>
      <c r="L8" s="100">
        <v>207</v>
      </c>
      <c r="M8" s="100">
        <v>105</v>
      </c>
    </row>
    <row r="9" spans="1:13" s="77" customFormat="1" ht="15.75" customHeight="1">
      <c r="A9" s="67" t="s">
        <v>148</v>
      </c>
      <c r="B9" s="270">
        <v>1065</v>
      </c>
      <c r="C9" s="73">
        <v>208</v>
      </c>
      <c r="D9" s="73">
        <v>120</v>
      </c>
      <c r="E9" s="73">
        <v>41</v>
      </c>
      <c r="F9" s="73">
        <v>62</v>
      </c>
      <c r="G9" s="73">
        <v>195</v>
      </c>
      <c r="H9" s="73">
        <v>28</v>
      </c>
      <c r="I9" s="73">
        <v>104</v>
      </c>
      <c r="J9" s="73">
        <v>138</v>
      </c>
      <c r="K9" s="73">
        <v>63</v>
      </c>
      <c r="L9" s="73">
        <v>64</v>
      </c>
      <c r="M9" s="73">
        <v>42</v>
      </c>
    </row>
    <row r="10" spans="1:13" s="77" customFormat="1" ht="15.75" customHeight="1">
      <c r="A10" s="67" t="s">
        <v>150</v>
      </c>
      <c r="B10" s="270">
        <v>62</v>
      </c>
      <c r="C10" s="73">
        <v>10</v>
      </c>
      <c r="D10" s="73">
        <v>9</v>
      </c>
      <c r="E10" s="73">
        <v>4</v>
      </c>
      <c r="F10" s="73">
        <v>9</v>
      </c>
      <c r="G10" s="73">
        <v>14</v>
      </c>
      <c r="H10" s="73">
        <v>0</v>
      </c>
      <c r="I10" s="73">
        <v>4</v>
      </c>
      <c r="J10" s="73">
        <v>7</v>
      </c>
      <c r="K10" s="73">
        <v>3</v>
      </c>
      <c r="L10" s="73">
        <v>0</v>
      </c>
      <c r="M10" s="73">
        <v>2</v>
      </c>
    </row>
    <row r="11" spans="1:13" s="77" customFormat="1" ht="15.75" customHeight="1">
      <c r="A11" s="67" t="s">
        <v>151</v>
      </c>
      <c r="B11" s="270">
        <v>40</v>
      </c>
      <c r="C11" s="73">
        <v>0</v>
      </c>
      <c r="D11" s="73">
        <v>1</v>
      </c>
      <c r="E11" s="73">
        <v>0</v>
      </c>
      <c r="F11" s="73">
        <v>0</v>
      </c>
      <c r="G11" s="73">
        <v>33</v>
      </c>
      <c r="H11" s="73">
        <v>0</v>
      </c>
      <c r="I11" s="73">
        <v>5</v>
      </c>
      <c r="J11" s="73">
        <v>0</v>
      </c>
      <c r="K11" s="73">
        <v>0</v>
      </c>
      <c r="L11" s="73">
        <v>1</v>
      </c>
      <c r="M11" s="73">
        <v>0</v>
      </c>
    </row>
    <row r="12" spans="1:13" s="77" customFormat="1" ht="15.75" customHeight="1">
      <c r="A12" s="67" t="s">
        <v>167</v>
      </c>
      <c r="B12" s="270">
        <v>38</v>
      </c>
      <c r="C12" s="73">
        <v>9</v>
      </c>
      <c r="D12" s="73">
        <v>7</v>
      </c>
      <c r="E12" s="73">
        <v>2</v>
      </c>
      <c r="F12" s="73">
        <v>1</v>
      </c>
      <c r="G12" s="73">
        <v>10</v>
      </c>
      <c r="H12" s="73">
        <v>0</v>
      </c>
      <c r="I12" s="73">
        <v>2</v>
      </c>
      <c r="J12" s="73">
        <v>3</v>
      </c>
      <c r="K12" s="73">
        <v>1</v>
      </c>
      <c r="L12" s="73">
        <v>3</v>
      </c>
      <c r="M12" s="73">
        <v>0</v>
      </c>
    </row>
    <row r="13" spans="1:13" s="77" customFormat="1" ht="15.75" customHeight="1">
      <c r="A13" s="67" t="s">
        <v>153</v>
      </c>
      <c r="B13" s="270">
        <v>964</v>
      </c>
      <c r="C13" s="73">
        <v>132</v>
      </c>
      <c r="D13" s="73">
        <v>154</v>
      </c>
      <c r="E13" s="73">
        <v>253</v>
      </c>
      <c r="F13" s="73">
        <v>19</v>
      </c>
      <c r="G13" s="73">
        <v>182</v>
      </c>
      <c r="H13" s="73">
        <v>3</v>
      </c>
      <c r="I13" s="73">
        <v>51</v>
      </c>
      <c r="J13" s="73">
        <v>116</v>
      </c>
      <c r="K13" s="73">
        <v>33</v>
      </c>
      <c r="L13" s="73">
        <v>18</v>
      </c>
      <c r="M13" s="73">
        <v>3</v>
      </c>
    </row>
    <row r="14" spans="1:13" s="77" customFormat="1" ht="15.75" customHeight="1">
      <c r="A14" s="67" t="s">
        <v>162</v>
      </c>
      <c r="B14" s="270">
        <v>99</v>
      </c>
      <c r="C14" s="73">
        <v>14</v>
      </c>
      <c r="D14" s="73">
        <v>12</v>
      </c>
      <c r="E14" s="73">
        <v>0</v>
      </c>
      <c r="F14" s="73">
        <v>5</v>
      </c>
      <c r="G14" s="73">
        <v>31</v>
      </c>
      <c r="H14" s="73">
        <v>0</v>
      </c>
      <c r="I14" s="73">
        <v>19</v>
      </c>
      <c r="J14" s="73">
        <v>15</v>
      </c>
      <c r="K14" s="73">
        <v>0</v>
      </c>
      <c r="L14" s="73">
        <v>3</v>
      </c>
      <c r="M14" s="73">
        <v>0</v>
      </c>
    </row>
    <row r="15" spans="1:13" s="77" customFormat="1" ht="15.75" customHeight="1">
      <c r="A15" s="67" t="s">
        <v>155</v>
      </c>
      <c r="B15" s="270">
        <v>56</v>
      </c>
      <c r="C15" s="73">
        <v>11</v>
      </c>
      <c r="D15" s="73">
        <v>15</v>
      </c>
      <c r="E15" s="73">
        <v>2</v>
      </c>
      <c r="F15" s="73">
        <v>5</v>
      </c>
      <c r="G15" s="73">
        <v>8</v>
      </c>
      <c r="H15" s="73">
        <v>0</v>
      </c>
      <c r="I15" s="73">
        <v>1</v>
      </c>
      <c r="J15" s="73">
        <v>8</v>
      </c>
      <c r="K15" s="73">
        <v>1</v>
      </c>
      <c r="L15" s="73">
        <v>2</v>
      </c>
      <c r="M15" s="73">
        <v>3</v>
      </c>
    </row>
    <row r="16" spans="1:13" s="77" customFormat="1" ht="15.75" customHeight="1">
      <c r="A16" s="67" t="s">
        <v>157</v>
      </c>
      <c r="B16" s="270">
        <v>1642</v>
      </c>
      <c r="C16" s="73">
        <v>292</v>
      </c>
      <c r="D16" s="73">
        <v>162</v>
      </c>
      <c r="E16" s="73">
        <v>89</v>
      </c>
      <c r="F16" s="73">
        <v>64</v>
      </c>
      <c r="G16" s="73">
        <v>293</v>
      </c>
      <c r="H16" s="73">
        <v>16</v>
      </c>
      <c r="I16" s="73">
        <v>230</v>
      </c>
      <c r="J16" s="73">
        <v>275</v>
      </c>
      <c r="K16" s="73">
        <v>75</v>
      </c>
      <c r="L16" s="73">
        <v>97</v>
      </c>
      <c r="M16" s="73">
        <v>49</v>
      </c>
    </row>
    <row r="17" spans="1:13" s="77" customFormat="1" ht="15.75" customHeight="1">
      <c r="A17" s="67" t="s">
        <v>158</v>
      </c>
      <c r="B17" s="270">
        <v>498</v>
      </c>
      <c r="C17" s="73">
        <v>91</v>
      </c>
      <c r="D17" s="73">
        <v>131</v>
      </c>
      <c r="E17" s="73">
        <v>53</v>
      </c>
      <c r="F17" s="73">
        <v>5</v>
      </c>
      <c r="G17" s="73">
        <v>129</v>
      </c>
      <c r="H17" s="73">
        <v>0</v>
      </c>
      <c r="I17" s="73">
        <v>41</v>
      </c>
      <c r="J17" s="73">
        <v>29</v>
      </c>
      <c r="K17" s="73">
        <v>17</v>
      </c>
      <c r="L17" s="73">
        <v>1</v>
      </c>
      <c r="M17" s="73">
        <v>1</v>
      </c>
    </row>
    <row r="18" spans="1:13" s="77" customFormat="1" ht="15.75" customHeight="1">
      <c r="A18" s="67" t="s">
        <v>164</v>
      </c>
      <c r="B18" s="270">
        <v>38</v>
      </c>
      <c r="C18" s="73">
        <v>7</v>
      </c>
      <c r="D18" s="73">
        <v>2</v>
      </c>
      <c r="E18" s="73">
        <v>0</v>
      </c>
      <c r="F18" s="73">
        <v>0</v>
      </c>
      <c r="G18" s="73">
        <v>8</v>
      </c>
      <c r="H18" s="73">
        <v>0</v>
      </c>
      <c r="I18" s="73">
        <v>9</v>
      </c>
      <c r="J18" s="73">
        <v>2</v>
      </c>
      <c r="K18" s="73">
        <v>3</v>
      </c>
      <c r="L18" s="73">
        <v>5</v>
      </c>
      <c r="M18" s="73">
        <v>2</v>
      </c>
    </row>
    <row r="19" spans="1:13" s="77" customFormat="1" ht="15.75" customHeight="1">
      <c r="A19" s="67" t="s">
        <v>160</v>
      </c>
      <c r="B19" s="270">
        <v>258</v>
      </c>
      <c r="C19" s="73">
        <v>42</v>
      </c>
      <c r="D19" s="73">
        <v>9</v>
      </c>
      <c r="E19" s="73">
        <v>5</v>
      </c>
      <c r="F19" s="73">
        <v>2</v>
      </c>
      <c r="G19" s="73">
        <v>129</v>
      </c>
      <c r="H19" s="73">
        <v>0</v>
      </c>
      <c r="I19" s="73">
        <v>25</v>
      </c>
      <c r="J19" s="73">
        <v>32</v>
      </c>
      <c r="K19" s="73">
        <v>8</v>
      </c>
      <c r="L19" s="73">
        <v>6</v>
      </c>
      <c r="M19" s="73">
        <v>0</v>
      </c>
    </row>
    <row r="20" spans="1:13" s="77" customFormat="1" ht="15.75" customHeight="1">
      <c r="A20" s="67" t="s">
        <v>166</v>
      </c>
      <c r="B20" s="270">
        <v>172</v>
      </c>
      <c r="C20" s="73">
        <v>39</v>
      </c>
      <c r="D20" s="73">
        <v>31</v>
      </c>
      <c r="E20" s="73">
        <v>13</v>
      </c>
      <c r="F20" s="73">
        <v>20</v>
      </c>
      <c r="G20" s="73">
        <v>24</v>
      </c>
      <c r="H20" s="73">
        <v>0</v>
      </c>
      <c r="I20" s="73">
        <v>8</v>
      </c>
      <c r="J20" s="73">
        <v>22</v>
      </c>
      <c r="K20" s="73">
        <v>5</v>
      </c>
      <c r="L20" s="73">
        <v>7</v>
      </c>
      <c r="M20" s="73">
        <v>3</v>
      </c>
    </row>
    <row r="21" spans="1:13" s="77" customFormat="1" ht="15.75" customHeight="1">
      <c r="A21" s="93" t="s">
        <v>276</v>
      </c>
      <c r="B21" s="269">
        <v>216</v>
      </c>
      <c r="C21" s="100">
        <v>33</v>
      </c>
      <c r="D21" s="100">
        <v>35</v>
      </c>
      <c r="E21" s="100">
        <v>9</v>
      </c>
      <c r="F21" s="100">
        <v>1</v>
      </c>
      <c r="G21" s="100">
        <v>25</v>
      </c>
      <c r="H21" s="100">
        <v>0</v>
      </c>
      <c r="I21" s="100">
        <v>63</v>
      </c>
      <c r="J21" s="100">
        <v>27</v>
      </c>
      <c r="K21" s="100">
        <v>10</v>
      </c>
      <c r="L21" s="100">
        <v>11</v>
      </c>
      <c r="M21" s="100">
        <v>2</v>
      </c>
    </row>
    <row r="22" spans="1:13" s="77" customFormat="1" ht="15.75" customHeight="1">
      <c r="A22" s="67" t="s">
        <v>161</v>
      </c>
      <c r="B22" s="270">
        <v>18</v>
      </c>
      <c r="C22" s="73">
        <v>2</v>
      </c>
      <c r="D22" s="73">
        <v>1</v>
      </c>
      <c r="E22" s="73">
        <v>1</v>
      </c>
      <c r="F22" s="73">
        <v>1</v>
      </c>
      <c r="G22" s="73">
        <v>1</v>
      </c>
      <c r="H22" s="73">
        <v>0</v>
      </c>
      <c r="I22" s="73">
        <v>10</v>
      </c>
      <c r="J22" s="73">
        <v>2</v>
      </c>
      <c r="K22" s="73">
        <v>0</v>
      </c>
      <c r="L22" s="73">
        <v>0</v>
      </c>
      <c r="M22" s="73">
        <v>0</v>
      </c>
    </row>
    <row r="23" spans="1:13" s="77" customFormat="1" ht="15.75" customHeight="1">
      <c r="A23" s="67" t="s">
        <v>240</v>
      </c>
      <c r="B23" s="270">
        <v>32</v>
      </c>
      <c r="C23" s="73">
        <v>4</v>
      </c>
      <c r="D23" s="73">
        <v>3</v>
      </c>
      <c r="E23" s="73">
        <v>3</v>
      </c>
      <c r="F23" s="73">
        <v>0</v>
      </c>
      <c r="G23" s="73">
        <v>7</v>
      </c>
      <c r="H23" s="73">
        <v>0</v>
      </c>
      <c r="I23" s="73">
        <v>6</v>
      </c>
      <c r="J23" s="73">
        <v>4</v>
      </c>
      <c r="K23" s="73">
        <v>5</v>
      </c>
      <c r="L23" s="73">
        <v>0</v>
      </c>
      <c r="M23" s="73">
        <v>0</v>
      </c>
    </row>
    <row r="24" spans="1:13" s="77" customFormat="1" ht="15.75" customHeight="1">
      <c r="A24" s="67" t="s">
        <v>163</v>
      </c>
      <c r="B24" s="270">
        <v>10</v>
      </c>
      <c r="C24" s="73">
        <v>0</v>
      </c>
      <c r="D24" s="73">
        <v>4</v>
      </c>
      <c r="E24" s="73">
        <v>1</v>
      </c>
      <c r="F24" s="73">
        <v>0</v>
      </c>
      <c r="G24" s="73">
        <v>3</v>
      </c>
      <c r="H24" s="73">
        <v>0</v>
      </c>
      <c r="I24" s="73">
        <v>1</v>
      </c>
      <c r="J24" s="73">
        <v>1</v>
      </c>
      <c r="K24" s="73">
        <v>0</v>
      </c>
      <c r="L24" s="73">
        <v>0</v>
      </c>
      <c r="M24" s="73">
        <v>0</v>
      </c>
    </row>
    <row r="25" spans="1:13" s="77" customFormat="1" ht="15.75" customHeight="1">
      <c r="A25" s="67" t="s">
        <v>245</v>
      </c>
      <c r="B25" s="270">
        <v>13</v>
      </c>
      <c r="C25" s="73">
        <v>4</v>
      </c>
      <c r="D25" s="73">
        <v>4</v>
      </c>
      <c r="E25" s="73">
        <v>1</v>
      </c>
      <c r="F25" s="73">
        <v>0</v>
      </c>
      <c r="G25" s="73">
        <v>1</v>
      </c>
      <c r="H25" s="73">
        <v>0</v>
      </c>
      <c r="I25" s="73">
        <v>2</v>
      </c>
      <c r="J25" s="73">
        <v>1</v>
      </c>
      <c r="K25" s="73">
        <v>0</v>
      </c>
      <c r="L25" s="73">
        <v>0</v>
      </c>
      <c r="M25" s="73">
        <v>0</v>
      </c>
    </row>
    <row r="26" spans="1:13" s="77" customFormat="1" ht="15.75" customHeight="1">
      <c r="A26" s="67" t="s">
        <v>165</v>
      </c>
      <c r="B26" s="270">
        <v>111</v>
      </c>
      <c r="C26" s="73">
        <v>19</v>
      </c>
      <c r="D26" s="73">
        <v>16</v>
      </c>
      <c r="E26" s="73">
        <v>0</v>
      </c>
      <c r="F26" s="73">
        <v>0</v>
      </c>
      <c r="G26" s="73">
        <v>7</v>
      </c>
      <c r="H26" s="73">
        <v>0</v>
      </c>
      <c r="I26" s="73">
        <v>39</v>
      </c>
      <c r="J26" s="73">
        <v>17</v>
      </c>
      <c r="K26" s="73">
        <v>5</v>
      </c>
      <c r="L26" s="73">
        <v>6</v>
      </c>
      <c r="M26" s="73">
        <v>2</v>
      </c>
    </row>
    <row r="27" spans="1:13" s="77" customFormat="1" ht="15.75" customHeight="1">
      <c r="A27" s="67" t="s">
        <v>166</v>
      </c>
      <c r="B27" s="270">
        <v>32</v>
      </c>
      <c r="C27" s="73">
        <v>4</v>
      </c>
      <c r="D27" s="73">
        <v>7</v>
      </c>
      <c r="E27" s="73">
        <v>3</v>
      </c>
      <c r="F27" s="73">
        <v>0</v>
      </c>
      <c r="G27" s="73">
        <v>6</v>
      </c>
      <c r="H27" s="73">
        <v>0</v>
      </c>
      <c r="I27" s="73">
        <v>5</v>
      </c>
      <c r="J27" s="73">
        <v>2</v>
      </c>
      <c r="K27" s="73">
        <v>0</v>
      </c>
      <c r="L27" s="73">
        <v>5</v>
      </c>
      <c r="M27" s="73">
        <v>0</v>
      </c>
    </row>
    <row r="28" spans="1:13" s="77" customFormat="1" ht="15.75" customHeight="1">
      <c r="A28" s="93" t="s">
        <v>277</v>
      </c>
      <c r="B28" s="269">
        <v>18</v>
      </c>
      <c r="C28" s="100">
        <v>1</v>
      </c>
      <c r="D28" s="100">
        <v>4</v>
      </c>
      <c r="E28" s="100">
        <v>1</v>
      </c>
      <c r="F28" s="100">
        <v>0</v>
      </c>
      <c r="G28" s="100">
        <v>3</v>
      </c>
      <c r="H28" s="100">
        <v>2</v>
      </c>
      <c r="I28" s="100">
        <v>0</v>
      </c>
      <c r="J28" s="100">
        <v>3</v>
      </c>
      <c r="K28" s="100">
        <v>1</v>
      </c>
      <c r="L28" s="100">
        <v>2</v>
      </c>
      <c r="M28" s="100">
        <v>1</v>
      </c>
    </row>
    <row r="29" spans="1:13" s="77" customFormat="1" ht="15.75" customHeight="1">
      <c r="A29" s="93" t="s">
        <v>278</v>
      </c>
      <c r="B29" s="269">
        <v>95</v>
      </c>
      <c r="C29" s="100">
        <v>18</v>
      </c>
      <c r="D29" s="100">
        <v>9</v>
      </c>
      <c r="E29" s="100">
        <v>3</v>
      </c>
      <c r="F29" s="100">
        <v>4</v>
      </c>
      <c r="G29" s="100">
        <v>22</v>
      </c>
      <c r="H29" s="100">
        <v>1</v>
      </c>
      <c r="I29" s="100">
        <v>14</v>
      </c>
      <c r="J29" s="100">
        <v>12</v>
      </c>
      <c r="K29" s="100">
        <v>3</v>
      </c>
      <c r="L29" s="100">
        <v>7</v>
      </c>
      <c r="M29" s="100">
        <v>2</v>
      </c>
    </row>
    <row r="30" spans="1:13" s="77" customFormat="1" ht="15.75" customHeight="1">
      <c r="A30" s="67" t="s">
        <v>194</v>
      </c>
      <c r="B30" s="270">
        <v>10</v>
      </c>
      <c r="C30" s="73">
        <v>0</v>
      </c>
      <c r="D30" s="73">
        <v>0</v>
      </c>
      <c r="E30" s="73">
        <v>1</v>
      </c>
      <c r="F30" s="73">
        <v>1</v>
      </c>
      <c r="G30" s="73">
        <v>3</v>
      </c>
      <c r="H30" s="73">
        <v>0</v>
      </c>
      <c r="I30" s="73">
        <v>2</v>
      </c>
      <c r="J30" s="73">
        <v>0</v>
      </c>
      <c r="K30" s="73">
        <v>1</v>
      </c>
      <c r="L30" s="73">
        <v>1</v>
      </c>
      <c r="M30" s="73">
        <v>1</v>
      </c>
    </row>
    <row r="31" spans="1:13" s="77" customFormat="1" ht="15.75" customHeight="1">
      <c r="A31" s="67" t="s">
        <v>172</v>
      </c>
      <c r="B31" s="270">
        <v>35</v>
      </c>
      <c r="C31" s="73">
        <v>6</v>
      </c>
      <c r="D31" s="73">
        <v>2</v>
      </c>
      <c r="E31" s="73">
        <v>2</v>
      </c>
      <c r="F31" s="73">
        <v>1</v>
      </c>
      <c r="G31" s="73">
        <v>7</v>
      </c>
      <c r="H31" s="73">
        <v>0</v>
      </c>
      <c r="I31" s="73">
        <v>6</v>
      </c>
      <c r="J31" s="73">
        <v>4</v>
      </c>
      <c r="K31" s="73">
        <v>1</v>
      </c>
      <c r="L31" s="73">
        <v>5</v>
      </c>
      <c r="M31" s="73">
        <v>1</v>
      </c>
    </row>
    <row r="32" spans="1:13" s="77" customFormat="1" ht="15.75" customHeight="1">
      <c r="A32" s="67" t="s">
        <v>166</v>
      </c>
      <c r="B32" s="270">
        <v>50</v>
      </c>
      <c r="C32" s="73">
        <v>12</v>
      </c>
      <c r="D32" s="73">
        <v>7</v>
      </c>
      <c r="E32" s="73">
        <v>0</v>
      </c>
      <c r="F32" s="73">
        <v>2</v>
      </c>
      <c r="G32" s="73">
        <v>12</v>
      </c>
      <c r="H32" s="73">
        <v>1</v>
      </c>
      <c r="I32" s="73">
        <v>6</v>
      </c>
      <c r="J32" s="73">
        <v>8</v>
      </c>
      <c r="K32" s="73">
        <v>1</v>
      </c>
      <c r="L32" s="73">
        <v>1</v>
      </c>
      <c r="M32" s="73">
        <v>0</v>
      </c>
    </row>
    <row r="33" spans="1:13" s="77" customFormat="1" ht="15.75" customHeight="1">
      <c r="A33" s="93" t="s">
        <v>279</v>
      </c>
      <c r="B33" s="269">
        <v>61</v>
      </c>
      <c r="C33" s="100">
        <v>9</v>
      </c>
      <c r="D33" s="100">
        <v>6</v>
      </c>
      <c r="E33" s="100">
        <v>11</v>
      </c>
      <c r="F33" s="100">
        <v>4</v>
      </c>
      <c r="G33" s="100">
        <v>9</v>
      </c>
      <c r="H33" s="100">
        <v>1</v>
      </c>
      <c r="I33" s="100">
        <v>9</v>
      </c>
      <c r="J33" s="100">
        <v>6</v>
      </c>
      <c r="K33" s="100">
        <v>3</v>
      </c>
      <c r="L33" s="100">
        <v>2</v>
      </c>
      <c r="M33" s="100">
        <v>1</v>
      </c>
    </row>
    <row r="34" spans="1:13" s="77" customFormat="1" ht="15.75" customHeight="1">
      <c r="A34" s="67" t="s">
        <v>281</v>
      </c>
      <c r="B34" s="270">
        <v>9</v>
      </c>
      <c r="C34" s="73">
        <v>1</v>
      </c>
      <c r="D34" s="73">
        <v>0</v>
      </c>
      <c r="E34" s="73">
        <v>3</v>
      </c>
      <c r="F34" s="73">
        <v>1</v>
      </c>
      <c r="G34" s="73">
        <v>0</v>
      </c>
      <c r="H34" s="73">
        <v>0</v>
      </c>
      <c r="I34" s="73">
        <v>2</v>
      </c>
      <c r="J34" s="73">
        <v>0</v>
      </c>
      <c r="K34" s="73">
        <v>1</v>
      </c>
      <c r="L34" s="73">
        <v>1</v>
      </c>
      <c r="M34" s="73">
        <v>0</v>
      </c>
    </row>
    <row r="35" spans="1:13" s="77" customFormat="1" ht="15.75" customHeight="1">
      <c r="A35" s="67" t="s">
        <v>190</v>
      </c>
      <c r="B35" s="270">
        <v>27</v>
      </c>
      <c r="C35" s="73">
        <v>2</v>
      </c>
      <c r="D35" s="73">
        <v>3</v>
      </c>
      <c r="E35" s="73">
        <v>6</v>
      </c>
      <c r="F35" s="73">
        <v>3</v>
      </c>
      <c r="G35" s="73">
        <v>5</v>
      </c>
      <c r="H35" s="73">
        <v>1</v>
      </c>
      <c r="I35" s="73">
        <v>2</v>
      </c>
      <c r="J35" s="73">
        <v>2</v>
      </c>
      <c r="K35" s="73">
        <v>1</v>
      </c>
      <c r="L35" s="73">
        <v>1</v>
      </c>
      <c r="M35" s="73">
        <v>1</v>
      </c>
    </row>
    <row r="36" spans="1:13" s="77" customFormat="1" ht="15.75" customHeight="1">
      <c r="A36" s="77" t="s">
        <v>166</v>
      </c>
      <c r="B36" s="270">
        <v>25</v>
      </c>
      <c r="C36" s="73">
        <v>6</v>
      </c>
      <c r="D36" s="73">
        <v>3</v>
      </c>
      <c r="E36" s="73">
        <v>2</v>
      </c>
      <c r="F36" s="73">
        <v>0</v>
      </c>
      <c r="G36" s="73">
        <v>4</v>
      </c>
      <c r="H36" s="73">
        <v>0</v>
      </c>
      <c r="I36" s="73">
        <v>5</v>
      </c>
      <c r="J36" s="73">
        <v>4</v>
      </c>
      <c r="K36" s="73">
        <v>1</v>
      </c>
      <c r="L36" s="73">
        <v>0</v>
      </c>
      <c r="M36" s="73">
        <v>0</v>
      </c>
    </row>
    <row r="37" spans="1:13" s="77" customFormat="1" ht="15.75" customHeight="1" thickBot="1">
      <c r="A37" s="106" t="s">
        <v>280</v>
      </c>
      <c r="B37" s="271">
        <v>2</v>
      </c>
      <c r="C37" s="107">
        <v>1</v>
      </c>
      <c r="D37" s="107">
        <v>0</v>
      </c>
      <c r="E37" s="107">
        <v>0</v>
      </c>
      <c r="F37" s="107">
        <v>0</v>
      </c>
      <c r="G37" s="107">
        <v>1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</row>
    <row r="38" spans="1:13" ht="15.75" customHeight="1">
      <c r="A38" s="391" t="s">
        <v>635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</row>
  </sheetData>
  <sheetProtection/>
  <mergeCells count="5">
    <mergeCell ref="A1:M1"/>
    <mergeCell ref="A2:M2"/>
    <mergeCell ref="A3:M3"/>
    <mergeCell ref="C4:M4"/>
    <mergeCell ref="A38:M3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="85" zoomScaleNormal="85" zoomScalePageLayoutView="0" workbookViewId="0" topLeftCell="A1">
      <selection activeCell="Q15" sqref="Q15"/>
    </sheetView>
  </sheetViews>
  <sheetFormatPr defaultColWidth="11.421875" defaultRowHeight="12.75"/>
  <cols>
    <col min="1" max="1" width="24.28125" style="169" bestFit="1" customWidth="1"/>
    <col min="2" max="2" width="7.57421875" style="169" bestFit="1" customWidth="1"/>
    <col min="3" max="3" width="23.28125" style="169" bestFit="1" customWidth="1"/>
    <col min="4" max="7" width="17.57421875" style="169" bestFit="1" customWidth="1"/>
    <col min="8" max="8" width="21.28125" style="169" bestFit="1" customWidth="1"/>
    <col min="9" max="16384" width="11.421875" style="169" customWidth="1"/>
  </cols>
  <sheetData>
    <row r="1" spans="1:8" ht="18" customHeight="1">
      <c r="A1" s="412" t="s">
        <v>352</v>
      </c>
      <c r="B1" s="412"/>
      <c r="C1" s="412"/>
      <c r="D1" s="412"/>
      <c r="E1" s="412"/>
      <c r="F1" s="412"/>
      <c r="G1" s="412"/>
      <c r="H1" s="412"/>
    </row>
    <row r="2" spans="1:8" ht="16.5" customHeight="1">
      <c r="A2" s="418" t="s">
        <v>528</v>
      </c>
      <c r="B2" s="418"/>
      <c r="C2" s="418"/>
      <c r="D2" s="418"/>
      <c r="E2" s="418"/>
      <c r="F2" s="418"/>
      <c r="G2" s="418"/>
      <c r="H2" s="418"/>
    </row>
    <row r="3" spans="1:9" s="110" customFormat="1" ht="15.75" customHeight="1" thickBot="1">
      <c r="A3" s="419" t="s">
        <v>484</v>
      </c>
      <c r="B3" s="414"/>
      <c r="C3" s="414"/>
      <c r="D3" s="414"/>
      <c r="E3" s="414"/>
      <c r="F3" s="414"/>
      <c r="G3" s="414"/>
      <c r="H3" s="414"/>
      <c r="I3" s="25"/>
    </row>
    <row r="4" spans="1:8" s="110" customFormat="1" ht="15.75" customHeight="1">
      <c r="A4" s="129"/>
      <c r="B4" s="344" t="s">
        <v>134</v>
      </c>
      <c r="C4" s="415" t="s">
        <v>344</v>
      </c>
      <c r="D4" s="415"/>
      <c r="E4" s="415"/>
      <c r="F4" s="415"/>
      <c r="G4" s="415"/>
      <c r="H4" s="415"/>
    </row>
    <row r="5" spans="1:8" s="110" customFormat="1" ht="15.75" customHeight="1">
      <c r="A5" s="129"/>
      <c r="B5" s="65"/>
      <c r="C5" s="345" t="s">
        <v>345</v>
      </c>
      <c r="D5" s="345" t="s">
        <v>346</v>
      </c>
      <c r="E5" s="345" t="s">
        <v>347</v>
      </c>
      <c r="F5" s="345" t="s">
        <v>348</v>
      </c>
      <c r="G5" s="345" t="s">
        <v>349</v>
      </c>
      <c r="H5" s="345" t="s">
        <v>350</v>
      </c>
    </row>
    <row r="6" spans="1:8" s="110" customFormat="1" ht="15.75" customHeight="1">
      <c r="A6" s="131" t="s">
        <v>134</v>
      </c>
      <c r="B6" s="261">
        <v>6372</v>
      </c>
      <c r="C6" s="98">
        <v>1082</v>
      </c>
      <c r="D6" s="98">
        <v>1061</v>
      </c>
      <c r="E6" s="98">
        <v>650</v>
      </c>
      <c r="F6" s="98">
        <v>2056</v>
      </c>
      <c r="G6" s="98">
        <v>751</v>
      </c>
      <c r="H6" s="98">
        <v>772</v>
      </c>
    </row>
    <row r="7" spans="1:8" s="110" customFormat="1" ht="15.75" customHeight="1">
      <c r="A7" s="93" t="s">
        <v>136</v>
      </c>
      <c r="B7" s="261">
        <v>1048</v>
      </c>
      <c r="C7" s="98">
        <v>181</v>
      </c>
      <c r="D7" s="98">
        <v>176</v>
      </c>
      <c r="E7" s="98">
        <v>80</v>
      </c>
      <c r="F7" s="98">
        <v>325</v>
      </c>
      <c r="G7" s="98">
        <v>142</v>
      </c>
      <c r="H7" s="98">
        <v>144</v>
      </c>
    </row>
    <row r="8" spans="1:8" s="110" customFormat="1" ht="15.75" customHeight="1">
      <c r="A8" s="93" t="s">
        <v>261</v>
      </c>
      <c r="B8" s="261">
        <v>4932</v>
      </c>
      <c r="C8" s="98">
        <v>785</v>
      </c>
      <c r="D8" s="98">
        <v>772</v>
      </c>
      <c r="E8" s="98">
        <v>530</v>
      </c>
      <c r="F8" s="98">
        <v>1630</v>
      </c>
      <c r="G8" s="98">
        <v>591</v>
      </c>
      <c r="H8" s="98">
        <v>624</v>
      </c>
    </row>
    <row r="9" spans="1:8" s="110" customFormat="1" ht="15.75" customHeight="1">
      <c r="A9" s="67" t="s">
        <v>148</v>
      </c>
      <c r="B9" s="262">
        <v>1065</v>
      </c>
      <c r="C9" s="68">
        <v>248</v>
      </c>
      <c r="D9" s="68">
        <v>256</v>
      </c>
      <c r="E9" s="68">
        <v>110</v>
      </c>
      <c r="F9" s="68">
        <v>258</v>
      </c>
      <c r="G9" s="68">
        <v>76</v>
      </c>
      <c r="H9" s="68">
        <v>117</v>
      </c>
    </row>
    <row r="10" spans="1:8" s="110" customFormat="1" ht="15.75" customHeight="1">
      <c r="A10" s="67" t="s">
        <v>150</v>
      </c>
      <c r="B10" s="262">
        <v>62</v>
      </c>
      <c r="C10" s="68">
        <v>9</v>
      </c>
      <c r="D10" s="68">
        <v>18</v>
      </c>
      <c r="E10" s="68">
        <v>4</v>
      </c>
      <c r="F10" s="68">
        <v>20</v>
      </c>
      <c r="G10" s="68">
        <v>8</v>
      </c>
      <c r="H10" s="68">
        <v>3</v>
      </c>
    </row>
    <row r="11" spans="1:8" s="110" customFormat="1" ht="15.75" customHeight="1">
      <c r="A11" s="67" t="s">
        <v>151</v>
      </c>
      <c r="B11" s="262">
        <v>40</v>
      </c>
      <c r="C11" s="68">
        <v>1</v>
      </c>
      <c r="D11" s="68">
        <v>3</v>
      </c>
      <c r="E11" s="68">
        <v>3</v>
      </c>
      <c r="F11" s="68">
        <v>5</v>
      </c>
      <c r="G11" s="68">
        <v>13</v>
      </c>
      <c r="H11" s="68">
        <v>15</v>
      </c>
    </row>
    <row r="12" spans="1:8" s="110" customFormat="1" ht="15.75" customHeight="1">
      <c r="A12" s="67" t="s">
        <v>167</v>
      </c>
      <c r="B12" s="262">
        <v>38</v>
      </c>
      <c r="C12" s="68">
        <v>13</v>
      </c>
      <c r="D12" s="68">
        <v>5</v>
      </c>
      <c r="E12" s="68">
        <v>5</v>
      </c>
      <c r="F12" s="68">
        <v>10</v>
      </c>
      <c r="G12" s="68">
        <v>3</v>
      </c>
      <c r="H12" s="68">
        <v>2</v>
      </c>
    </row>
    <row r="13" spans="1:8" s="110" customFormat="1" ht="15.75" customHeight="1">
      <c r="A13" s="67" t="s">
        <v>153</v>
      </c>
      <c r="B13" s="262">
        <v>964</v>
      </c>
      <c r="C13" s="68">
        <v>84</v>
      </c>
      <c r="D13" s="68">
        <v>100</v>
      </c>
      <c r="E13" s="68">
        <v>113</v>
      </c>
      <c r="F13" s="68">
        <v>367</v>
      </c>
      <c r="G13" s="68">
        <v>143</v>
      </c>
      <c r="H13" s="68">
        <v>157</v>
      </c>
    </row>
    <row r="14" spans="1:8" s="110" customFormat="1" ht="15.75" customHeight="1">
      <c r="A14" s="67" t="s">
        <v>162</v>
      </c>
      <c r="B14" s="262">
        <v>99</v>
      </c>
      <c r="C14" s="68">
        <v>5</v>
      </c>
      <c r="D14" s="68">
        <v>14</v>
      </c>
      <c r="E14" s="68">
        <v>9</v>
      </c>
      <c r="F14" s="68">
        <v>44</v>
      </c>
      <c r="G14" s="68">
        <v>13</v>
      </c>
      <c r="H14" s="68">
        <v>14</v>
      </c>
    </row>
    <row r="15" spans="1:8" s="110" customFormat="1" ht="15.75" customHeight="1">
      <c r="A15" s="67" t="s">
        <v>155</v>
      </c>
      <c r="B15" s="262">
        <v>56</v>
      </c>
      <c r="C15" s="68">
        <v>13</v>
      </c>
      <c r="D15" s="68">
        <v>5</v>
      </c>
      <c r="E15" s="68">
        <v>5</v>
      </c>
      <c r="F15" s="68">
        <v>22</v>
      </c>
      <c r="G15" s="68">
        <v>5</v>
      </c>
      <c r="H15" s="68">
        <v>6</v>
      </c>
    </row>
    <row r="16" spans="1:8" s="110" customFormat="1" ht="15.75" customHeight="1">
      <c r="A16" s="67" t="s">
        <v>157</v>
      </c>
      <c r="B16" s="262">
        <v>1642</v>
      </c>
      <c r="C16" s="68">
        <v>265</v>
      </c>
      <c r="D16" s="68">
        <v>224</v>
      </c>
      <c r="E16" s="68">
        <v>146</v>
      </c>
      <c r="F16" s="68">
        <v>477</v>
      </c>
      <c r="G16" s="68">
        <v>252</v>
      </c>
      <c r="H16" s="68">
        <v>278</v>
      </c>
    </row>
    <row r="17" spans="1:8" s="110" customFormat="1" ht="15.75" customHeight="1">
      <c r="A17" s="67" t="s">
        <v>158</v>
      </c>
      <c r="B17" s="262">
        <v>498</v>
      </c>
      <c r="C17" s="68">
        <v>39</v>
      </c>
      <c r="D17" s="68">
        <v>72</v>
      </c>
      <c r="E17" s="68">
        <v>68</v>
      </c>
      <c r="F17" s="68">
        <v>278</v>
      </c>
      <c r="G17" s="68">
        <v>41</v>
      </c>
      <c r="H17" s="68">
        <v>0</v>
      </c>
    </row>
    <row r="18" spans="1:8" s="110" customFormat="1" ht="15.75" customHeight="1">
      <c r="A18" s="67" t="s">
        <v>164</v>
      </c>
      <c r="B18" s="262">
        <v>38</v>
      </c>
      <c r="C18" s="68">
        <v>7</v>
      </c>
      <c r="D18" s="68">
        <v>4</v>
      </c>
      <c r="E18" s="68">
        <v>2</v>
      </c>
      <c r="F18" s="68">
        <v>6</v>
      </c>
      <c r="G18" s="68">
        <v>6</v>
      </c>
      <c r="H18" s="68">
        <v>13</v>
      </c>
    </row>
    <row r="19" spans="1:8" s="110" customFormat="1" ht="15.75" customHeight="1">
      <c r="A19" s="67" t="s">
        <v>160</v>
      </c>
      <c r="B19" s="262">
        <v>258</v>
      </c>
      <c r="C19" s="68">
        <v>33</v>
      </c>
      <c r="D19" s="68">
        <v>37</v>
      </c>
      <c r="E19" s="68">
        <v>53</v>
      </c>
      <c r="F19" s="68">
        <v>104</v>
      </c>
      <c r="G19" s="68">
        <v>22</v>
      </c>
      <c r="H19" s="68">
        <v>9</v>
      </c>
    </row>
    <row r="20" spans="1:13" s="110" customFormat="1" ht="15.75" customHeight="1">
      <c r="A20" s="67" t="s">
        <v>166</v>
      </c>
      <c r="B20" s="262">
        <v>172</v>
      </c>
      <c r="C20" s="68">
        <v>68</v>
      </c>
      <c r="D20" s="68">
        <v>34</v>
      </c>
      <c r="E20" s="68">
        <v>12</v>
      </c>
      <c r="F20" s="68">
        <v>39</v>
      </c>
      <c r="G20" s="68">
        <v>9</v>
      </c>
      <c r="H20" s="68">
        <v>10</v>
      </c>
      <c r="M20" s="25"/>
    </row>
    <row r="21" spans="1:13" s="110" customFormat="1" ht="15.75" customHeight="1">
      <c r="A21" s="93" t="s">
        <v>276</v>
      </c>
      <c r="B21" s="261">
        <v>216</v>
      </c>
      <c r="C21" s="98">
        <v>59</v>
      </c>
      <c r="D21" s="98">
        <v>48</v>
      </c>
      <c r="E21" s="98">
        <v>23</v>
      </c>
      <c r="F21" s="98">
        <v>67</v>
      </c>
      <c r="G21" s="98">
        <v>16</v>
      </c>
      <c r="H21" s="98">
        <v>3</v>
      </c>
      <c r="M21" s="25"/>
    </row>
    <row r="22" spans="1:8" s="110" customFormat="1" ht="15.75" customHeight="1">
      <c r="A22" s="67" t="s">
        <v>161</v>
      </c>
      <c r="B22" s="262">
        <v>18</v>
      </c>
      <c r="C22" s="68">
        <v>6</v>
      </c>
      <c r="D22" s="68">
        <v>3</v>
      </c>
      <c r="E22" s="68">
        <v>0</v>
      </c>
      <c r="F22" s="68">
        <v>5</v>
      </c>
      <c r="G22" s="68">
        <v>3</v>
      </c>
      <c r="H22" s="68">
        <v>1</v>
      </c>
    </row>
    <row r="23" spans="1:8" s="110" customFormat="1" ht="15.75" customHeight="1">
      <c r="A23" s="67" t="s">
        <v>240</v>
      </c>
      <c r="B23" s="262">
        <v>32</v>
      </c>
      <c r="C23" s="68">
        <v>8</v>
      </c>
      <c r="D23" s="68">
        <v>12</v>
      </c>
      <c r="E23" s="68">
        <v>8</v>
      </c>
      <c r="F23" s="68">
        <v>4</v>
      </c>
      <c r="G23" s="68">
        <v>0</v>
      </c>
      <c r="H23" s="68">
        <v>0</v>
      </c>
    </row>
    <row r="24" spans="1:8" s="110" customFormat="1" ht="15.75" customHeight="1">
      <c r="A24" s="67" t="s">
        <v>163</v>
      </c>
      <c r="B24" s="262">
        <v>10</v>
      </c>
      <c r="C24" s="68">
        <v>2</v>
      </c>
      <c r="D24" s="68">
        <v>2</v>
      </c>
      <c r="E24" s="68">
        <v>4</v>
      </c>
      <c r="F24" s="68">
        <v>2</v>
      </c>
      <c r="G24" s="68">
        <v>0</v>
      </c>
      <c r="H24" s="68">
        <v>0</v>
      </c>
    </row>
    <row r="25" spans="1:8" s="110" customFormat="1" ht="15.75" customHeight="1">
      <c r="A25" s="67" t="s">
        <v>245</v>
      </c>
      <c r="B25" s="262">
        <v>13</v>
      </c>
      <c r="C25" s="68">
        <v>4</v>
      </c>
      <c r="D25" s="68">
        <v>3</v>
      </c>
      <c r="E25" s="68">
        <v>0</v>
      </c>
      <c r="F25" s="68">
        <v>5</v>
      </c>
      <c r="G25" s="68">
        <v>1</v>
      </c>
      <c r="H25" s="68">
        <v>0</v>
      </c>
    </row>
    <row r="26" spans="1:8" s="110" customFormat="1" ht="15.75" customHeight="1">
      <c r="A26" s="67" t="s">
        <v>165</v>
      </c>
      <c r="B26" s="262">
        <v>111</v>
      </c>
      <c r="C26" s="68">
        <v>28</v>
      </c>
      <c r="D26" s="68">
        <v>18</v>
      </c>
      <c r="E26" s="68">
        <v>7</v>
      </c>
      <c r="F26" s="68">
        <v>44</v>
      </c>
      <c r="G26" s="68">
        <v>12</v>
      </c>
      <c r="H26" s="68">
        <v>2</v>
      </c>
    </row>
    <row r="27" spans="1:8" s="110" customFormat="1" ht="15.75" customHeight="1">
      <c r="A27" s="67" t="s">
        <v>166</v>
      </c>
      <c r="B27" s="262">
        <v>32</v>
      </c>
      <c r="C27" s="68">
        <v>11</v>
      </c>
      <c r="D27" s="68">
        <v>10</v>
      </c>
      <c r="E27" s="68">
        <v>4</v>
      </c>
      <c r="F27" s="68">
        <v>7</v>
      </c>
      <c r="G27" s="68">
        <v>0</v>
      </c>
      <c r="H27" s="68">
        <v>0</v>
      </c>
    </row>
    <row r="28" spans="1:8" s="110" customFormat="1" ht="15.75" customHeight="1">
      <c r="A28" s="93" t="s">
        <v>277</v>
      </c>
      <c r="B28" s="261">
        <v>18</v>
      </c>
      <c r="C28" s="98">
        <v>8</v>
      </c>
      <c r="D28" s="98">
        <v>8</v>
      </c>
      <c r="E28" s="98">
        <v>0</v>
      </c>
      <c r="F28" s="98">
        <v>1</v>
      </c>
      <c r="G28" s="98">
        <v>1</v>
      </c>
      <c r="H28" s="98">
        <v>0</v>
      </c>
    </row>
    <row r="29" spans="1:8" s="110" customFormat="1" ht="15.75" customHeight="1">
      <c r="A29" s="93" t="s">
        <v>278</v>
      </c>
      <c r="B29" s="261">
        <v>95</v>
      </c>
      <c r="C29" s="98">
        <v>29</v>
      </c>
      <c r="D29" s="98">
        <v>35</v>
      </c>
      <c r="E29" s="98">
        <v>9</v>
      </c>
      <c r="F29" s="98">
        <v>21</v>
      </c>
      <c r="G29" s="98">
        <v>0</v>
      </c>
      <c r="H29" s="98">
        <v>1</v>
      </c>
    </row>
    <row r="30" spans="1:8" s="110" customFormat="1" ht="15.75" customHeight="1">
      <c r="A30" s="67" t="s">
        <v>194</v>
      </c>
      <c r="B30" s="262">
        <v>10</v>
      </c>
      <c r="C30" s="68">
        <v>0</v>
      </c>
      <c r="D30" s="68">
        <v>3</v>
      </c>
      <c r="E30" s="68">
        <v>1</v>
      </c>
      <c r="F30" s="68">
        <v>6</v>
      </c>
      <c r="G30" s="68">
        <v>0</v>
      </c>
      <c r="H30" s="68">
        <v>0</v>
      </c>
    </row>
    <row r="31" spans="1:8" s="110" customFormat="1" ht="15.75" customHeight="1">
      <c r="A31" s="67" t="s">
        <v>172</v>
      </c>
      <c r="B31" s="262">
        <v>35</v>
      </c>
      <c r="C31" s="68">
        <v>12</v>
      </c>
      <c r="D31" s="68">
        <v>10</v>
      </c>
      <c r="E31" s="68">
        <v>4</v>
      </c>
      <c r="F31" s="68">
        <v>9</v>
      </c>
      <c r="G31" s="68">
        <v>0</v>
      </c>
      <c r="H31" s="68">
        <v>0</v>
      </c>
    </row>
    <row r="32" spans="1:8" s="110" customFormat="1" ht="15.75" customHeight="1">
      <c r="A32" s="67" t="s">
        <v>166</v>
      </c>
      <c r="B32" s="262">
        <v>50</v>
      </c>
      <c r="C32" s="68">
        <v>17</v>
      </c>
      <c r="D32" s="68">
        <v>22</v>
      </c>
      <c r="E32" s="68">
        <v>4</v>
      </c>
      <c r="F32" s="68">
        <v>6</v>
      </c>
      <c r="G32" s="68">
        <v>0</v>
      </c>
      <c r="H32" s="68">
        <v>1</v>
      </c>
    </row>
    <row r="33" spans="1:8" s="110" customFormat="1" ht="15.75" customHeight="1">
      <c r="A33" s="93" t="s">
        <v>279</v>
      </c>
      <c r="B33" s="261">
        <v>61</v>
      </c>
      <c r="C33" s="98">
        <v>19</v>
      </c>
      <c r="D33" s="98">
        <v>22</v>
      </c>
      <c r="E33" s="98">
        <v>7</v>
      </c>
      <c r="F33" s="98">
        <v>12</v>
      </c>
      <c r="G33" s="98">
        <v>1</v>
      </c>
      <c r="H33" s="98">
        <v>0</v>
      </c>
    </row>
    <row r="34" spans="1:8" s="110" customFormat="1" ht="15.75" customHeight="1">
      <c r="A34" s="67" t="s">
        <v>281</v>
      </c>
      <c r="B34" s="262">
        <v>9</v>
      </c>
      <c r="C34" s="68">
        <v>3</v>
      </c>
      <c r="D34" s="68">
        <v>4</v>
      </c>
      <c r="E34" s="68">
        <v>2</v>
      </c>
      <c r="F34" s="68">
        <v>0</v>
      </c>
      <c r="G34" s="68">
        <v>0</v>
      </c>
      <c r="H34" s="68">
        <v>0</v>
      </c>
    </row>
    <row r="35" spans="1:8" s="110" customFormat="1" ht="15.75" customHeight="1">
      <c r="A35" s="67" t="s">
        <v>190</v>
      </c>
      <c r="B35" s="262">
        <v>27</v>
      </c>
      <c r="C35" s="68">
        <v>8</v>
      </c>
      <c r="D35" s="68">
        <v>8</v>
      </c>
      <c r="E35" s="68">
        <v>4</v>
      </c>
      <c r="F35" s="68">
        <v>6</v>
      </c>
      <c r="G35" s="68">
        <v>1</v>
      </c>
      <c r="H35" s="68">
        <v>0</v>
      </c>
    </row>
    <row r="36" spans="1:8" s="110" customFormat="1" ht="15.75" customHeight="1">
      <c r="A36" s="110" t="s">
        <v>166</v>
      </c>
      <c r="B36" s="262">
        <v>25</v>
      </c>
      <c r="C36" s="68">
        <v>8</v>
      </c>
      <c r="D36" s="68">
        <v>10</v>
      </c>
      <c r="E36" s="68">
        <v>1</v>
      </c>
      <c r="F36" s="68">
        <v>6</v>
      </c>
      <c r="G36" s="68">
        <v>0</v>
      </c>
      <c r="H36" s="68">
        <v>0</v>
      </c>
    </row>
    <row r="37" spans="1:8" s="110" customFormat="1" ht="15.75" customHeight="1" thickBot="1">
      <c r="A37" s="170" t="s">
        <v>280</v>
      </c>
      <c r="B37" s="266">
        <v>2</v>
      </c>
      <c r="C37" s="99">
        <v>1</v>
      </c>
      <c r="D37" s="99">
        <v>0</v>
      </c>
      <c r="E37" s="99">
        <v>1</v>
      </c>
      <c r="F37" s="99">
        <v>0</v>
      </c>
      <c r="G37" s="99">
        <v>0</v>
      </c>
      <c r="H37" s="99">
        <v>0</v>
      </c>
    </row>
    <row r="38" spans="1:8" ht="14.25">
      <c r="A38" s="391" t="s">
        <v>635</v>
      </c>
      <c r="B38" s="391"/>
      <c r="C38" s="391"/>
      <c r="D38" s="391"/>
      <c r="E38" s="391"/>
      <c r="F38" s="391"/>
      <c r="G38" s="391"/>
      <c r="H38" s="391"/>
    </row>
  </sheetData>
  <sheetProtection/>
  <mergeCells count="5">
    <mergeCell ref="A1:H1"/>
    <mergeCell ref="A2:H2"/>
    <mergeCell ref="A3:H3"/>
    <mergeCell ref="C4:H4"/>
    <mergeCell ref="A38:H38"/>
  </mergeCells>
  <printOptions/>
  <pageMargins left="0.7" right="0.7" top="0.787401575" bottom="0.7874015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8"/>
  <sheetViews>
    <sheetView zoomScale="85" zoomScaleNormal="85" zoomScalePageLayoutView="0" workbookViewId="0" topLeftCell="A1">
      <selection activeCell="R42" sqref="R42"/>
    </sheetView>
  </sheetViews>
  <sheetFormatPr defaultColWidth="11.421875" defaultRowHeight="12.75"/>
  <cols>
    <col min="1" max="1" width="24.28125" style="169" bestFit="1" customWidth="1"/>
    <col min="2" max="2" width="7.8515625" style="169" bestFit="1" customWidth="1"/>
    <col min="3" max="3" width="7.7109375" style="169" bestFit="1" customWidth="1"/>
    <col min="4" max="4" width="9.28125" style="169" bestFit="1" customWidth="1"/>
    <col min="5" max="5" width="8.8515625" style="169" bestFit="1" customWidth="1"/>
    <col min="6" max="6" width="14.140625" style="169" bestFit="1" customWidth="1"/>
    <col min="7" max="7" width="9.28125" style="169" bestFit="1" customWidth="1"/>
    <col min="8" max="8" width="9.7109375" style="169" bestFit="1" customWidth="1"/>
    <col min="9" max="9" width="9.00390625" style="169" bestFit="1" customWidth="1"/>
    <col min="10" max="10" width="9.28125" style="169" bestFit="1" customWidth="1"/>
    <col min="11" max="11" width="10.28125" style="169" bestFit="1" customWidth="1"/>
    <col min="12" max="12" width="9.28125" style="169" bestFit="1" customWidth="1"/>
    <col min="13" max="13" width="15.140625" style="169" bestFit="1" customWidth="1"/>
    <col min="14" max="16384" width="11.421875" style="169" customWidth="1"/>
  </cols>
  <sheetData>
    <row r="1" spans="1:13" ht="18" customHeight="1">
      <c r="A1" s="412" t="s">
        <v>353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4" ht="16.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110"/>
    </row>
    <row r="3" spans="1:13" ht="15.75" customHeight="1" thickBot="1">
      <c r="A3" s="414" t="s">
        <v>485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129"/>
      <c r="B4" s="34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129"/>
      <c r="B5" s="65"/>
      <c r="C5" s="345" t="s">
        <v>123</v>
      </c>
      <c r="D5" s="345" t="s">
        <v>124</v>
      </c>
      <c r="E5" s="345" t="s">
        <v>125</v>
      </c>
      <c r="F5" s="345" t="s">
        <v>126</v>
      </c>
      <c r="G5" s="345" t="s">
        <v>127</v>
      </c>
      <c r="H5" s="345" t="s">
        <v>128</v>
      </c>
      <c r="I5" s="345" t="s">
        <v>129</v>
      </c>
      <c r="J5" s="345" t="s">
        <v>130</v>
      </c>
      <c r="K5" s="345" t="s">
        <v>131</v>
      </c>
      <c r="L5" s="345" t="s">
        <v>132</v>
      </c>
      <c r="M5" s="345" t="s">
        <v>133</v>
      </c>
    </row>
    <row r="6" spans="1:13" ht="15.75" customHeight="1">
      <c r="A6" s="131" t="s">
        <v>134</v>
      </c>
      <c r="B6" s="261">
        <v>3921</v>
      </c>
      <c r="C6" s="98">
        <v>728</v>
      </c>
      <c r="D6" s="98">
        <v>609</v>
      </c>
      <c r="E6" s="98">
        <v>359</v>
      </c>
      <c r="F6" s="98">
        <v>202</v>
      </c>
      <c r="G6" s="98">
        <v>637</v>
      </c>
      <c r="H6" s="98">
        <v>35</v>
      </c>
      <c r="I6" s="98">
        <v>440</v>
      </c>
      <c r="J6" s="98">
        <v>541</v>
      </c>
      <c r="K6" s="98">
        <v>131</v>
      </c>
      <c r="L6" s="98">
        <v>166</v>
      </c>
      <c r="M6" s="98">
        <v>73</v>
      </c>
    </row>
    <row r="7" spans="1:13" ht="15.75" customHeight="1">
      <c r="A7" s="93" t="s">
        <v>136</v>
      </c>
      <c r="B7" s="261">
        <v>928</v>
      </c>
      <c r="C7" s="98">
        <v>138</v>
      </c>
      <c r="D7" s="98">
        <v>147</v>
      </c>
      <c r="E7" s="98">
        <v>134</v>
      </c>
      <c r="F7" s="98">
        <v>55</v>
      </c>
      <c r="G7" s="98">
        <v>134</v>
      </c>
      <c r="H7" s="98">
        <v>13</v>
      </c>
      <c r="I7" s="98">
        <v>103</v>
      </c>
      <c r="J7" s="98">
        <v>85</v>
      </c>
      <c r="K7" s="98">
        <v>39</v>
      </c>
      <c r="L7" s="98">
        <v>59</v>
      </c>
      <c r="M7" s="98">
        <v>21</v>
      </c>
    </row>
    <row r="8" spans="1:13" ht="15.75" customHeight="1">
      <c r="A8" s="93" t="s">
        <v>261</v>
      </c>
      <c r="B8" s="261">
        <v>2049</v>
      </c>
      <c r="C8" s="98">
        <v>356</v>
      </c>
      <c r="D8" s="98">
        <v>285</v>
      </c>
      <c r="E8" s="98">
        <v>137</v>
      </c>
      <c r="F8" s="98">
        <v>121</v>
      </c>
      <c r="G8" s="98">
        <v>386</v>
      </c>
      <c r="H8" s="98">
        <v>18</v>
      </c>
      <c r="I8" s="98">
        <v>209</v>
      </c>
      <c r="J8" s="98">
        <v>339</v>
      </c>
      <c r="K8" s="98">
        <v>73</v>
      </c>
      <c r="L8" s="98">
        <v>82</v>
      </c>
      <c r="M8" s="98">
        <v>43</v>
      </c>
    </row>
    <row r="9" spans="1:13" ht="15.75" customHeight="1">
      <c r="A9" s="67" t="s">
        <v>148</v>
      </c>
      <c r="B9" s="262">
        <v>614</v>
      </c>
      <c r="C9" s="68">
        <v>128</v>
      </c>
      <c r="D9" s="68">
        <v>82</v>
      </c>
      <c r="E9" s="68">
        <v>22</v>
      </c>
      <c r="F9" s="68">
        <v>56</v>
      </c>
      <c r="G9" s="68">
        <v>85</v>
      </c>
      <c r="H9" s="68">
        <v>8</v>
      </c>
      <c r="I9" s="68">
        <v>60</v>
      </c>
      <c r="J9" s="68">
        <v>97</v>
      </c>
      <c r="K9" s="68">
        <v>26</v>
      </c>
      <c r="L9" s="68">
        <v>35</v>
      </c>
      <c r="M9" s="68">
        <v>15</v>
      </c>
    </row>
    <row r="10" spans="1:13" ht="15.75" customHeight="1">
      <c r="A10" s="67" t="s">
        <v>150</v>
      </c>
      <c r="B10" s="262">
        <v>28</v>
      </c>
      <c r="C10" s="68">
        <v>4</v>
      </c>
      <c r="D10" s="68">
        <v>6</v>
      </c>
      <c r="E10" s="68">
        <v>1</v>
      </c>
      <c r="F10" s="68">
        <v>7</v>
      </c>
      <c r="G10" s="68">
        <v>2</v>
      </c>
      <c r="H10" s="68">
        <v>0</v>
      </c>
      <c r="I10" s="68">
        <v>0</v>
      </c>
      <c r="J10" s="68">
        <v>7</v>
      </c>
      <c r="K10" s="68">
        <v>0</v>
      </c>
      <c r="L10" s="68">
        <v>0</v>
      </c>
      <c r="M10" s="68">
        <v>1</v>
      </c>
    </row>
    <row r="11" spans="1:13" ht="15.75" customHeight="1">
      <c r="A11" s="67" t="s">
        <v>151</v>
      </c>
      <c r="B11" s="262">
        <v>11</v>
      </c>
      <c r="C11" s="68">
        <v>4</v>
      </c>
      <c r="D11" s="68">
        <v>2</v>
      </c>
      <c r="E11" s="68">
        <v>0</v>
      </c>
      <c r="F11" s="68">
        <v>0</v>
      </c>
      <c r="G11" s="68">
        <v>4</v>
      </c>
      <c r="H11" s="68">
        <v>0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</row>
    <row r="12" spans="1:13" ht="15.75" customHeight="1">
      <c r="A12" s="67" t="s">
        <v>167</v>
      </c>
      <c r="B12" s="262">
        <v>19</v>
      </c>
      <c r="C12" s="68">
        <v>2</v>
      </c>
      <c r="D12" s="68">
        <v>1</v>
      </c>
      <c r="E12" s="68">
        <v>1</v>
      </c>
      <c r="F12" s="68">
        <v>0</v>
      </c>
      <c r="G12" s="68">
        <v>6</v>
      </c>
      <c r="H12" s="68">
        <v>1</v>
      </c>
      <c r="I12" s="68">
        <v>2</v>
      </c>
      <c r="J12" s="68">
        <v>4</v>
      </c>
      <c r="K12" s="68">
        <v>1</v>
      </c>
      <c r="L12" s="68">
        <v>0</v>
      </c>
      <c r="M12" s="68">
        <v>1</v>
      </c>
    </row>
    <row r="13" spans="1:13" ht="15.75" customHeight="1">
      <c r="A13" s="67" t="s">
        <v>153</v>
      </c>
      <c r="B13" s="262">
        <v>217</v>
      </c>
      <c r="C13" s="68">
        <v>30</v>
      </c>
      <c r="D13" s="68">
        <v>47</v>
      </c>
      <c r="E13" s="68">
        <v>54</v>
      </c>
      <c r="F13" s="68">
        <v>5</v>
      </c>
      <c r="G13" s="68">
        <v>14</v>
      </c>
      <c r="H13" s="68">
        <v>2</v>
      </c>
      <c r="I13" s="68">
        <v>20</v>
      </c>
      <c r="J13" s="68">
        <v>35</v>
      </c>
      <c r="K13" s="68">
        <v>4</v>
      </c>
      <c r="L13" s="68">
        <v>4</v>
      </c>
      <c r="M13" s="68">
        <v>2</v>
      </c>
    </row>
    <row r="14" spans="1:13" ht="15.75" customHeight="1">
      <c r="A14" s="67" t="s">
        <v>162</v>
      </c>
      <c r="B14" s="262">
        <v>18</v>
      </c>
      <c r="C14" s="68">
        <v>4</v>
      </c>
      <c r="D14" s="68">
        <v>5</v>
      </c>
      <c r="E14" s="68">
        <v>0</v>
      </c>
      <c r="F14" s="68">
        <v>0</v>
      </c>
      <c r="G14" s="68">
        <v>7</v>
      </c>
      <c r="H14" s="68">
        <v>0</v>
      </c>
      <c r="I14" s="68">
        <v>0</v>
      </c>
      <c r="J14" s="68">
        <v>2</v>
      </c>
      <c r="K14" s="68">
        <v>0</v>
      </c>
      <c r="L14" s="68">
        <v>0</v>
      </c>
      <c r="M14" s="68">
        <v>0</v>
      </c>
    </row>
    <row r="15" spans="1:13" ht="15.75" customHeight="1">
      <c r="A15" s="67" t="s">
        <v>155</v>
      </c>
      <c r="B15" s="262">
        <v>16</v>
      </c>
      <c r="C15" s="68">
        <v>4</v>
      </c>
      <c r="D15" s="68">
        <v>4</v>
      </c>
      <c r="E15" s="68">
        <v>0</v>
      </c>
      <c r="F15" s="68">
        <v>1</v>
      </c>
      <c r="G15" s="68">
        <v>4</v>
      </c>
      <c r="H15" s="68">
        <v>0</v>
      </c>
      <c r="I15" s="68">
        <v>2</v>
      </c>
      <c r="J15" s="68">
        <v>1</v>
      </c>
      <c r="K15" s="68">
        <v>0</v>
      </c>
      <c r="L15" s="68">
        <v>0</v>
      </c>
      <c r="M15" s="68">
        <v>0</v>
      </c>
    </row>
    <row r="16" spans="1:13" ht="15.75" customHeight="1">
      <c r="A16" s="67" t="s">
        <v>157</v>
      </c>
      <c r="B16" s="262">
        <v>645</v>
      </c>
      <c r="C16" s="68">
        <v>97</v>
      </c>
      <c r="D16" s="68">
        <v>75</v>
      </c>
      <c r="E16" s="68">
        <v>28</v>
      </c>
      <c r="F16" s="68">
        <v>38</v>
      </c>
      <c r="G16" s="68">
        <v>81</v>
      </c>
      <c r="H16" s="68">
        <v>6</v>
      </c>
      <c r="I16" s="68">
        <v>96</v>
      </c>
      <c r="J16" s="68">
        <v>150</v>
      </c>
      <c r="K16" s="68">
        <v>25</v>
      </c>
      <c r="L16" s="68">
        <v>32</v>
      </c>
      <c r="M16" s="68">
        <v>17</v>
      </c>
    </row>
    <row r="17" spans="1:13" ht="15.75" customHeight="1">
      <c r="A17" s="67" t="s">
        <v>158</v>
      </c>
      <c r="B17" s="262">
        <v>197</v>
      </c>
      <c r="C17" s="68">
        <v>38</v>
      </c>
      <c r="D17" s="68">
        <v>37</v>
      </c>
      <c r="E17" s="68">
        <v>19</v>
      </c>
      <c r="F17" s="68">
        <v>2</v>
      </c>
      <c r="G17" s="68">
        <v>85</v>
      </c>
      <c r="H17" s="68">
        <v>0</v>
      </c>
      <c r="I17" s="68">
        <v>5</v>
      </c>
      <c r="J17" s="68">
        <v>2</v>
      </c>
      <c r="K17" s="68">
        <v>8</v>
      </c>
      <c r="L17" s="68">
        <v>0</v>
      </c>
      <c r="M17" s="68">
        <v>1</v>
      </c>
    </row>
    <row r="18" spans="1:13" ht="15.75" customHeight="1">
      <c r="A18" s="67" t="s">
        <v>164</v>
      </c>
      <c r="B18" s="262">
        <v>11</v>
      </c>
      <c r="C18" s="68">
        <v>1</v>
      </c>
      <c r="D18" s="68">
        <v>1</v>
      </c>
      <c r="E18" s="68">
        <v>3</v>
      </c>
      <c r="F18" s="68">
        <v>0</v>
      </c>
      <c r="G18" s="68">
        <v>2</v>
      </c>
      <c r="H18" s="68">
        <v>0</v>
      </c>
      <c r="I18" s="68">
        <v>2</v>
      </c>
      <c r="J18" s="68">
        <v>1</v>
      </c>
      <c r="K18" s="68">
        <v>1</v>
      </c>
      <c r="L18" s="68">
        <v>0</v>
      </c>
      <c r="M18" s="68">
        <v>0</v>
      </c>
    </row>
    <row r="19" spans="1:13" ht="15.75" customHeight="1">
      <c r="A19" s="67" t="s">
        <v>160</v>
      </c>
      <c r="B19" s="262">
        <v>119</v>
      </c>
      <c r="C19" s="68">
        <v>8</v>
      </c>
      <c r="D19" s="68">
        <v>2</v>
      </c>
      <c r="E19" s="68">
        <v>1</v>
      </c>
      <c r="F19" s="68">
        <v>2</v>
      </c>
      <c r="G19" s="68">
        <v>72</v>
      </c>
      <c r="H19" s="68">
        <v>1</v>
      </c>
      <c r="I19" s="68">
        <v>10</v>
      </c>
      <c r="J19" s="68">
        <v>9</v>
      </c>
      <c r="K19" s="68">
        <v>5</v>
      </c>
      <c r="L19" s="68">
        <v>9</v>
      </c>
      <c r="M19" s="68">
        <v>0</v>
      </c>
    </row>
    <row r="20" spans="1:13" ht="15.75" customHeight="1">
      <c r="A20" s="67" t="s">
        <v>166</v>
      </c>
      <c r="B20" s="262">
        <v>154</v>
      </c>
      <c r="C20" s="68">
        <v>36</v>
      </c>
      <c r="D20" s="68">
        <v>23</v>
      </c>
      <c r="E20" s="68">
        <v>8</v>
      </c>
      <c r="F20" s="68">
        <v>10</v>
      </c>
      <c r="G20" s="68">
        <v>24</v>
      </c>
      <c r="H20" s="68">
        <v>0</v>
      </c>
      <c r="I20" s="68">
        <v>11</v>
      </c>
      <c r="J20" s="68">
        <v>31</v>
      </c>
      <c r="K20" s="68">
        <v>3</v>
      </c>
      <c r="L20" s="68">
        <v>2</v>
      </c>
      <c r="M20" s="68">
        <v>6</v>
      </c>
    </row>
    <row r="21" spans="1:13" ht="15.75" customHeight="1">
      <c r="A21" s="93" t="s">
        <v>276</v>
      </c>
      <c r="B21" s="261">
        <v>470</v>
      </c>
      <c r="C21" s="98">
        <v>100</v>
      </c>
      <c r="D21" s="98">
        <v>96</v>
      </c>
      <c r="E21" s="98">
        <v>41</v>
      </c>
      <c r="F21" s="98">
        <v>9</v>
      </c>
      <c r="G21" s="98">
        <v>47</v>
      </c>
      <c r="H21" s="98">
        <v>1</v>
      </c>
      <c r="I21" s="98">
        <v>86</v>
      </c>
      <c r="J21" s="98">
        <v>68</v>
      </c>
      <c r="K21" s="98">
        <v>10</v>
      </c>
      <c r="L21" s="98">
        <v>10</v>
      </c>
      <c r="M21" s="98">
        <v>2</v>
      </c>
    </row>
    <row r="22" spans="1:13" ht="15.75" customHeight="1">
      <c r="A22" s="67" t="s">
        <v>161</v>
      </c>
      <c r="B22" s="262">
        <v>48</v>
      </c>
      <c r="C22" s="68">
        <v>10</v>
      </c>
      <c r="D22" s="68">
        <v>2</v>
      </c>
      <c r="E22" s="68">
        <v>7</v>
      </c>
      <c r="F22" s="68">
        <v>0</v>
      </c>
      <c r="G22" s="68">
        <v>4</v>
      </c>
      <c r="H22" s="68">
        <v>0</v>
      </c>
      <c r="I22" s="68">
        <v>16</v>
      </c>
      <c r="J22" s="68">
        <v>9</v>
      </c>
      <c r="K22" s="68">
        <v>0</v>
      </c>
      <c r="L22" s="68">
        <v>0</v>
      </c>
      <c r="M22" s="68">
        <v>0</v>
      </c>
    </row>
    <row r="23" spans="1:13" ht="15.75" customHeight="1">
      <c r="A23" s="67" t="s">
        <v>240</v>
      </c>
      <c r="B23" s="262">
        <v>153</v>
      </c>
      <c r="C23" s="68">
        <v>44</v>
      </c>
      <c r="D23" s="68">
        <v>32</v>
      </c>
      <c r="E23" s="68">
        <v>9</v>
      </c>
      <c r="F23" s="68">
        <v>1</v>
      </c>
      <c r="G23" s="68">
        <v>9</v>
      </c>
      <c r="H23" s="68">
        <v>0</v>
      </c>
      <c r="I23" s="68">
        <v>38</v>
      </c>
      <c r="J23" s="68">
        <v>10</v>
      </c>
      <c r="K23" s="68">
        <v>4</v>
      </c>
      <c r="L23" s="68">
        <v>6</v>
      </c>
      <c r="M23" s="68">
        <v>0</v>
      </c>
    </row>
    <row r="24" spans="1:13" ht="15.75" customHeight="1">
      <c r="A24" s="67" t="s">
        <v>163</v>
      </c>
      <c r="B24" s="262">
        <v>41</v>
      </c>
      <c r="C24" s="68">
        <v>4</v>
      </c>
      <c r="D24" s="68">
        <v>5</v>
      </c>
      <c r="E24" s="68">
        <v>4</v>
      </c>
      <c r="F24" s="68">
        <v>1</v>
      </c>
      <c r="G24" s="68">
        <v>6</v>
      </c>
      <c r="H24" s="68">
        <v>0</v>
      </c>
      <c r="I24" s="68">
        <v>2</v>
      </c>
      <c r="J24" s="68">
        <v>17</v>
      </c>
      <c r="K24" s="68">
        <v>2</v>
      </c>
      <c r="L24" s="68">
        <v>0</v>
      </c>
      <c r="M24" s="68">
        <v>0</v>
      </c>
    </row>
    <row r="25" spans="1:13" ht="15.75" customHeight="1">
      <c r="A25" s="67" t="s">
        <v>245</v>
      </c>
      <c r="B25" s="262">
        <v>79</v>
      </c>
      <c r="C25" s="68">
        <v>7</v>
      </c>
      <c r="D25" s="68">
        <v>24</v>
      </c>
      <c r="E25" s="68">
        <v>15</v>
      </c>
      <c r="F25" s="68">
        <v>4</v>
      </c>
      <c r="G25" s="68">
        <v>17</v>
      </c>
      <c r="H25" s="68">
        <v>0</v>
      </c>
      <c r="I25" s="68">
        <v>7</v>
      </c>
      <c r="J25" s="68">
        <v>2</v>
      </c>
      <c r="K25" s="68">
        <v>2</v>
      </c>
      <c r="L25" s="68">
        <v>1</v>
      </c>
      <c r="M25" s="68">
        <v>0</v>
      </c>
    </row>
    <row r="26" spans="1:13" ht="15.75" customHeight="1">
      <c r="A26" s="67" t="s">
        <v>165</v>
      </c>
      <c r="B26" s="262">
        <v>90</v>
      </c>
      <c r="C26" s="68">
        <v>25</v>
      </c>
      <c r="D26" s="68">
        <v>20</v>
      </c>
      <c r="E26" s="68">
        <v>0</v>
      </c>
      <c r="F26" s="68">
        <v>0</v>
      </c>
      <c r="G26" s="68">
        <v>0</v>
      </c>
      <c r="H26" s="68">
        <v>0</v>
      </c>
      <c r="I26" s="68">
        <v>18</v>
      </c>
      <c r="J26" s="68">
        <v>21</v>
      </c>
      <c r="K26" s="68">
        <v>2</v>
      </c>
      <c r="L26" s="68">
        <v>2</v>
      </c>
      <c r="M26" s="68">
        <v>2</v>
      </c>
    </row>
    <row r="27" spans="1:13" ht="15.75" customHeight="1">
      <c r="A27" s="67" t="s">
        <v>166</v>
      </c>
      <c r="B27" s="262">
        <v>59</v>
      </c>
      <c r="C27" s="68">
        <v>10</v>
      </c>
      <c r="D27" s="68">
        <v>13</v>
      </c>
      <c r="E27" s="68">
        <v>6</v>
      </c>
      <c r="F27" s="68">
        <v>3</v>
      </c>
      <c r="G27" s="68">
        <v>11</v>
      </c>
      <c r="H27" s="68">
        <v>1</v>
      </c>
      <c r="I27" s="68">
        <v>5</v>
      </c>
      <c r="J27" s="68">
        <v>9</v>
      </c>
      <c r="K27" s="68">
        <v>0</v>
      </c>
      <c r="L27" s="68">
        <v>1</v>
      </c>
      <c r="M27" s="68">
        <v>0</v>
      </c>
    </row>
    <row r="28" spans="1:13" ht="15.75" customHeight="1">
      <c r="A28" s="93" t="s">
        <v>277</v>
      </c>
      <c r="B28" s="261">
        <v>109</v>
      </c>
      <c r="C28" s="98">
        <v>41</v>
      </c>
      <c r="D28" s="98">
        <v>16</v>
      </c>
      <c r="E28" s="98">
        <v>2</v>
      </c>
      <c r="F28" s="98">
        <v>0</v>
      </c>
      <c r="G28" s="98">
        <v>10</v>
      </c>
      <c r="H28" s="98">
        <v>0</v>
      </c>
      <c r="I28" s="98">
        <v>18</v>
      </c>
      <c r="J28" s="98">
        <v>19</v>
      </c>
      <c r="K28" s="98">
        <v>2</v>
      </c>
      <c r="L28" s="98">
        <v>0</v>
      </c>
      <c r="M28" s="98">
        <v>1</v>
      </c>
    </row>
    <row r="29" spans="1:13" ht="15.75" customHeight="1">
      <c r="A29" s="93" t="s">
        <v>278</v>
      </c>
      <c r="B29" s="261">
        <v>154</v>
      </c>
      <c r="C29" s="98">
        <v>31</v>
      </c>
      <c r="D29" s="98">
        <v>21</v>
      </c>
      <c r="E29" s="98">
        <v>17</v>
      </c>
      <c r="F29" s="98">
        <v>15</v>
      </c>
      <c r="G29" s="98">
        <v>22</v>
      </c>
      <c r="H29" s="98">
        <v>2</v>
      </c>
      <c r="I29" s="98">
        <v>13</v>
      </c>
      <c r="J29" s="98">
        <v>15</v>
      </c>
      <c r="K29" s="98">
        <v>4</v>
      </c>
      <c r="L29" s="98">
        <v>9</v>
      </c>
      <c r="M29" s="98">
        <v>5</v>
      </c>
    </row>
    <row r="30" spans="1:13" ht="15.75" customHeight="1">
      <c r="A30" s="67" t="s">
        <v>194</v>
      </c>
      <c r="B30" s="262">
        <v>40</v>
      </c>
      <c r="C30" s="68">
        <v>7</v>
      </c>
      <c r="D30" s="68">
        <v>6</v>
      </c>
      <c r="E30" s="68">
        <v>6</v>
      </c>
      <c r="F30" s="68">
        <v>5</v>
      </c>
      <c r="G30" s="68">
        <v>10</v>
      </c>
      <c r="H30" s="68">
        <v>0</v>
      </c>
      <c r="I30" s="68">
        <v>3</v>
      </c>
      <c r="J30" s="68">
        <v>1</v>
      </c>
      <c r="K30" s="68">
        <v>0</v>
      </c>
      <c r="L30" s="68">
        <v>1</v>
      </c>
      <c r="M30" s="68">
        <v>1</v>
      </c>
    </row>
    <row r="31" spans="1:13" ht="15.75" customHeight="1">
      <c r="A31" s="67" t="s">
        <v>172</v>
      </c>
      <c r="B31" s="262">
        <v>44</v>
      </c>
      <c r="C31" s="68">
        <v>12</v>
      </c>
      <c r="D31" s="68">
        <v>5</v>
      </c>
      <c r="E31" s="68">
        <v>4</v>
      </c>
      <c r="F31" s="68">
        <v>2</v>
      </c>
      <c r="G31" s="68">
        <v>6</v>
      </c>
      <c r="H31" s="68">
        <v>0</v>
      </c>
      <c r="I31" s="68">
        <v>5</v>
      </c>
      <c r="J31" s="68">
        <v>3</v>
      </c>
      <c r="K31" s="68">
        <v>2</v>
      </c>
      <c r="L31" s="68">
        <v>3</v>
      </c>
      <c r="M31" s="68">
        <v>2</v>
      </c>
    </row>
    <row r="32" spans="1:13" ht="15.75" customHeight="1">
      <c r="A32" s="67" t="s">
        <v>166</v>
      </c>
      <c r="B32" s="262">
        <v>70</v>
      </c>
      <c r="C32" s="68">
        <v>12</v>
      </c>
      <c r="D32" s="68">
        <v>10</v>
      </c>
      <c r="E32" s="68">
        <v>7</v>
      </c>
      <c r="F32" s="68">
        <v>8</v>
      </c>
      <c r="G32" s="68">
        <v>6</v>
      </c>
      <c r="H32" s="68">
        <v>2</v>
      </c>
      <c r="I32" s="68">
        <v>5</v>
      </c>
      <c r="J32" s="68">
        <v>11</v>
      </c>
      <c r="K32" s="68">
        <v>2</v>
      </c>
      <c r="L32" s="68">
        <v>5</v>
      </c>
      <c r="M32" s="68">
        <v>2</v>
      </c>
    </row>
    <row r="33" spans="1:13" ht="15.75" customHeight="1">
      <c r="A33" s="93" t="s">
        <v>279</v>
      </c>
      <c r="B33" s="261">
        <v>205</v>
      </c>
      <c r="C33" s="98">
        <v>60</v>
      </c>
      <c r="D33" s="98">
        <v>44</v>
      </c>
      <c r="E33" s="98">
        <v>28</v>
      </c>
      <c r="F33" s="98">
        <v>2</v>
      </c>
      <c r="G33" s="98">
        <v>36</v>
      </c>
      <c r="H33" s="98">
        <v>1</v>
      </c>
      <c r="I33" s="98">
        <v>9</v>
      </c>
      <c r="J33" s="98">
        <v>15</v>
      </c>
      <c r="K33" s="98">
        <v>3</v>
      </c>
      <c r="L33" s="98">
        <v>6</v>
      </c>
      <c r="M33" s="98">
        <v>1</v>
      </c>
    </row>
    <row r="34" spans="1:13" ht="15.75" customHeight="1">
      <c r="A34" s="67" t="s">
        <v>281</v>
      </c>
      <c r="B34" s="262">
        <v>62</v>
      </c>
      <c r="C34" s="68">
        <v>21</v>
      </c>
      <c r="D34" s="68">
        <v>13</v>
      </c>
      <c r="E34" s="68">
        <v>13</v>
      </c>
      <c r="F34" s="68">
        <v>0</v>
      </c>
      <c r="G34" s="68">
        <v>10</v>
      </c>
      <c r="H34" s="68">
        <v>0</v>
      </c>
      <c r="I34" s="68">
        <v>1</v>
      </c>
      <c r="J34" s="68">
        <v>0</v>
      </c>
      <c r="K34" s="68">
        <v>2</v>
      </c>
      <c r="L34" s="68">
        <v>2</v>
      </c>
      <c r="M34" s="68">
        <v>0</v>
      </c>
    </row>
    <row r="35" spans="1:13" ht="15.75" customHeight="1">
      <c r="A35" s="67" t="s">
        <v>190</v>
      </c>
      <c r="B35" s="262">
        <v>20</v>
      </c>
      <c r="C35" s="68">
        <v>3</v>
      </c>
      <c r="D35" s="68">
        <v>0</v>
      </c>
      <c r="E35" s="68">
        <v>4</v>
      </c>
      <c r="F35" s="68">
        <v>1</v>
      </c>
      <c r="G35" s="68">
        <v>3</v>
      </c>
      <c r="H35" s="68">
        <v>1</v>
      </c>
      <c r="I35" s="68">
        <v>6</v>
      </c>
      <c r="J35" s="68">
        <v>1</v>
      </c>
      <c r="K35" s="68">
        <v>1</v>
      </c>
      <c r="L35" s="68">
        <v>0</v>
      </c>
      <c r="M35" s="68">
        <v>0</v>
      </c>
    </row>
    <row r="36" spans="1:13" ht="15.75" customHeight="1">
      <c r="A36" s="110" t="s">
        <v>166</v>
      </c>
      <c r="B36" s="262">
        <v>123</v>
      </c>
      <c r="C36" s="68">
        <v>36</v>
      </c>
      <c r="D36" s="68">
        <v>31</v>
      </c>
      <c r="E36" s="68">
        <v>11</v>
      </c>
      <c r="F36" s="68">
        <v>1</v>
      </c>
      <c r="G36" s="68">
        <v>23</v>
      </c>
      <c r="H36" s="68">
        <v>0</v>
      </c>
      <c r="I36" s="68">
        <v>2</v>
      </c>
      <c r="J36" s="68">
        <v>14</v>
      </c>
      <c r="K36" s="68">
        <v>0</v>
      </c>
      <c r="L36" s="68">
        <v>4</v>
      </c>
      <c r="M36" s="68">
        <v>1</v>
      </c>
    </row>
    <row r="37" spans="1:13" ht="15.75" customHeight="1" thickBot="1">
      <c r="A37" s="170" t="s">
        <v>280</v>
      </c>
      <c r="B37" s="266">
        <v>6</v>
      </c>
      <c r="C37" s="99">
        <v>2</v>
      </c>
      <c r="D37" s="99">
        <v>0</v>
      </c>
      <c r="E37" s="99">
        <v>0</v>
      </c>
      <c r="F37" s="99">
        <v>0</v>
      </c>
      <c r="G37" s="99">
        <v>2</v>
      </c>
      <c r="H37" s="99">
        <v>0</v>
      </c>
      <c r="I37" s="99">
        <v>2</v>
      </c>
      <c r="J37" s="99">
        <v>0</v>
      </c>
      <c r="K37" s="99">
        <v>0</v>
      </c>
      <c r="L37" s="99">
        <v>0</v>
      </c>
      <c r="M37" s="99">
        <v>0</v>
      </c>
    </row>
    <row r="38" spans="1:13" ht="14.25">
      <c r="A38" s="391" t="s">
        <v>635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</row>
  </sheetData>
  <sheetProtection/>
  <mergeCells count="5">
    <mergeCell ref="A1:M1"/>
    <mergeCell ref="A2:M2"/>
    <mergeCell ref="A3:M3"/>
    <mergeCell ref="C4:M4"/>
    <mergeCell ref="A38:M38"/>
  </mergeCells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="85" zoomScaleNormal="85" zoomScalePageLayoutView="0" workbookViewId="0" topLeftCell="A1">
      <selection activeCell="E48" sqref="E48"/>
    </sheetView>
  </sheetViews>
  <sheetFormatPr defaultColWidth="11.421875" defaultRowHeight="12.75"/>
  <cols>
    <col min="1" max="1" width="24.28125" style="169" bestFit="1" customWidth="1"/>
    <col min="2" max="2" width="7.8515625" style="169" bestFit="1" customWidth="1"/>
    <col min="3" max="3" width="23.28125" style="169" bestFit="1" customWidth="1"/>
    <col min="4" max="7" width="17.57421875" style="169" bestFit="1" customWidth="1"/>
    <col min="8" max="8" width="21.28125" style="169" bestFit="1" customWidth="1"/>
    <col min="9" max="16384" width="11.421875" style="169" customWidth="1"/>
  </cols>
  <sheetData>
    <row r="1" spans="1:9" ht="18" customHeight="1">
      <c r="A1" s="412" t="s">
        <v>354</v>
      </c>
      <c r="B1" s="412"/>
      <c r="C1" s="412"/>
      <c r="D1" s="412"/>
      <c r="E1" s="412"/>
      <c r="F1" s="412"/>
      <c r="G1" s="412"/>
      <c r="H1" s="412"/>
      <c r="I1" s="171"/>
    </row>
    <row r="2" spans="1:9" ht="16.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171"/>
    </row>
    <row r="3" spans="1:8" s="110" customFormat="1" ht="15.75" customHeight="1" thickBot="1">
      <c r="A3" s="414" t="s">
        <v>486</v>
      </c>
      <c r="B3" s="414"/>
      <c r="C3" s="414"/>
      <c r="D3" s="414"/>
      <c r="E3" s="414"/>
      <c r="F3" s="414"/>
      <c r="G3" s="414"/>
      <c r="H3" s="414"/>
    </row>
    <row r="4" spans="1:8" s="110" customFormat="1" ht="15.75" customHeight="1">
      <c r="A4" s="129"/>
      <c r="B4" s="344" t="s">
        <v>134</v>
      </c>
      <c r="C4" s="415" t="s">
        <v>344</v>
      </c>
      <c r="D4" s="415"/>
      <c r="E4" s="415"/>
      <c r="F4" s="415"/>
      <c r="G4" s="415"/>
      <c r="H4" s="415"/>
    </row>
    <row r="5" spans="1:8" s="110" customFormat="1" ht="15.75" customHeight="1">
      <c r="A5" s="129"/>
      <c r="B5" s="346"/>
      <c r="C5" s="345" t="s">
        <v>345</v>
      </c>
      <c r="D5" s="345" t="s">
        <v>346</v>
      </c>
      <c r="E5" s="345" t="s">
        <v>347</v>
      </c>
      <c r="F5" s="345" t="s">
        <v>348</v>
      </c>
      <c r="G5" s="345" t="s">
        <v>349</v>
      </c>
      <c r="H5" s="345" t="s">
        <v>350</v>
      </c>
    </row>
    <row r="6" spans="1:8" s="110" customFormat="1" ht="15.75" customHeight="1">
      <c r="A6" s="131" t="s">
        <v>134</v>
      </c>
      <c r="B6" s="261">
        <v>3921</v>
      </c>
      <c r="C6" s="98">
        <v>3331</v>
      </c>
      <c r="D6" s="98">
        <v>262</v>
      </c>
      <c r="E6" s="98">
        <v>129</v>
      </c>
      <c r="F6" s="98">
        <v>190</v>
      </c>
      <c r="G6" s="98">
        <v>6</v>
      </c>
      <c r="H6" s="98">
        <v>3</v>
      </c>
    </row>
    <row r="7" spans="1:8" s="110" customFormat="1" ht="15.75" customHeight="1">
      <c r="A7" s="93" t="s">
        <v>136</v>
      </c>
      <c r="B7" s="261">
        <v>928</v>
      </c>
      <c r="C7" s="98">
        <v>735</v>
      </c>
      <c r="D7" s="98">
        <v>61</v>
      </c>
      <c r="E7" s="98">
        <v>48</v>
      </c>
      <c r="F7" s="98">
        <v>81</v>
      </c>
      <c r="G7" s="98">
        <v>2</v>
      </c>
      <c r="H7" s="98">
        <v>1</v>
      </c>
    </row>
    <row r="8" spans="1:8" s="110" customFormat="1" ht="15.75" customHeight="1">
      <c r="A8" s="93" t="s">
        <v>261</v>
      </c>
      <c r="B8" s="261">
        <v>2049</v>
      </c>
      <c r="C8" s="98">
        <v>1783</v>
      </c>
      <c r="D8" s="98">
        <v>125</v>
      </c>
      <c r="E8" s="98">
        <v>62</v>
      </c>
      <c r="F8" s="98">
        <v>73</v>
      </c>
      <c r="G8" s="98">
        <v>4</v>
      </c>
      <c r="H8" s="98">
        <v>2</v>
      </c>
    </row>
    <row r="9" spans="1:8" s="110" customFormat="1" ht="15.75" customHeight="1">
      <c r="A9" s="67" t="s">
        <v>148</v>
      </c>
      <c r="B9" s="262">
        <v>614</v>
      </c>
      <c r="C9" s="68">
        <v>567</v>
      </c>
      <c r="D9" s="68">
        <v>27</v>
      </c>
      <c r="E9" s="68">
        <v>9</v>
      </c>
      <c r="F9" s="68">
        <v>11</v>
      </c>
      <c r="G9" s="68">
        <v>0</v>
      </c>
      <c r="H9" s="68">
        <v>0</v>
      </c>
    </row>
    <row r="10" spans="1:8" s="110" customFormat="1" ht="15.75" customHeight="1">
      <c r="A10" s="67" t="s">
        <v>150</v>
      </c>
      <c r="B10" s="262">
        <v>28</v>
      </c>
      <c r="C10" s="68">
        <v>27</v>
      </c>
      <c r="D10" s="68">
        <v>1</v>
      </c>
      <c r="E10" s="68">
        <v>0</v>
      </c>
      <c r="F10" s="68">
        <v>0</v>
      </c>
      <c r="G10" s="68">
        <v>0</v>
      </c>
      <c r="H10" s="68">
        <v>0</v>
      </c>
    </row>
    <row r="11" spans="1:8" s="110" customFormat="1" ht="15.75" customHeight="1">
      <c r="A11" s="67" t="s">
        <v>151</v>
      </c>
      <c r="B11" s="262">
        <v>11</v>
      </c>
      <c r="C11" s="68">
        <v>10</v>
      </c>
      <c r="D11" s="68">
        <v>0</v>
      </c>
      <c r="E11" s="68">
        <v>0</v>
      </c>
      <c r="F11" s="68">
        <v>1</v>
      </c>
      <c r="G11" s="68">
        <v>0</v>
      </c>
      <c r="H11" s="68">
        <v>0</v>
      </c>
    </row>
    <row r="12" spans="1:8" s="110" customFormat="1" ht="15.75" customHeight="1">
      <c r="A12" s="67" t="s">
        <v>167</v>
      </c>
      <c r="B12" s="262">
        <v>19</v>
      </c>
      <c r="C12" s="68">
        <v>16</v>
      </c>
      <c r="D12" s="68">
        <v>1</v>
      </c>
      <c r="E12" s="68">
        <v>1</v>
      </c>
      <c r="F12" s="68">
        <v>1</v>
      </c>
      <c r="G12" s="68">
        <v>0</v>
      </c>
      <c r="H12" s="68">
        <v>0</v>
      </c>
    </row>
    <row r="13" spans="1:8" s="110" customFormat="1" ht="15.75" customHeight="1">
      <c r="A13" s="67" t="s">
        <v>153</v>
      </c>
      <c r="B13" s="262">
        <v>217</v>
      </c>
      <c r="C13" s="68">
        <v>181</v>
      </c>
      <c r="D13" s="68">
        <v>19</v>
      </c>
      <c r="E13" s="68">
        <v>10</v>
      </c>
      <c r="F13" s="68">
        <v>7</v>
      </c>
      <c r="G13" s="68">
        <v>0</v>
      </c>
      <c r="H13" s="68">
        <v>0</v>
      </c>
    </row>
    <row r="14" spans="1:8" s="110" customFormat="1" ht="15.75" customHeight="1">
      <c r="A14" s="67" t="s">
        <v>162</v>
      </c>
      <c r="B14" s="262">
        <v>18</v>
      </c>
      <c r="C14" s="68">
        <v>14</v>
      </c>
      <c r="D14" s="68">
        <v>2</v>
      </c>
      <c r="E14" s="68">
        <v>1</v>
      </c>
      <c r="F14" s="68">
        <v>1</v>
      </c>
      <c r="G14" s="68">
        <v>0</v>
      </c>
      <c r="H14" s="68">
        <v>0</v>
      </c>
    </row>
    <row r="15" spans="1:8" s="110" customFormat="1" ht="15.75" customHeight="1">
      <c r="A15" s="67" t="s">
        <v>155</v>
      </c>
      <c r="B15" s="262">
        <v>16</v>
      </c>
      <c r="C15" s="68">
        <v>14</v>
      </c>
      <c r="D15" s="68">
        <v>1</v>
      </c>
      <c r="E15" s="68">
        <v>0</v>
      </c>
      <c r="F15" s="68">
        <v>1</v>
      </c>
      <c r="G15" s="68">
        <v>0</v>
      </c>
      <c r="H15" s="68">
        <v>0</v>
      </c>
    </row>
    <row r="16" spans="1:8" s="110" customFormat="1" ht="15.75" customHeight="1">
      <c r="A16" s="67" t="s">
        <v>157</v>
      </c>
      <c r="B16" s="262">
        <v>645</v>
      </c>
      <c r="C16" s="68">
        <v>553</v>
      </c>
      <c r="D16" s="68">
        <v>42</v>
      </c>
      <c r="E16" s="68">
        <v>16</v>
      </c>
      <c r="F16" s="68">
        <v>29</v>
      </c>
      <c r="G16" s="68">
        <v>3</v>
      </c>
      <c r="H16" s="68">
        <v>2</v>
      </c>
    </row>
    <row r="17" spans="1:8" s="110" customFormat="1" ht="15.75" customHeight="1">
      <c r="A17" s="67" t="s">
        <v>158</v>
      </c>
      <c r="B17" s="262">
        <v>197</v>
      </c>
      <c r="C17" s="68">
        <v>151</v>
      </c>
      <c r="D17" s="68">
        <v>21</v>
      </c>
      <c r="E17" s="68">
        <v>14</v>
      </c>
      <c r="F17" s="68">
        <v>10</v>
      </c>
      <c r="G17" s="68">
        <v>1</v>
      </c>
      <c r="H17" s="68">
        <v>0</v>
      </c>
    </row>
    <row r="18" spans="1:8" s="110" customFormat="1" ht="15.75" customHeight="1">
      <c r="A18" s="67" t="s">
        <v>164</v>
      </c>
      <c r="B18" s="262">
        <v>11</v>
      </c>
      <c r="C18" s="68">
        <v>10</v>
      </c>
      <c r="D18" s="68">
        <v>0</v>
      </c>
      <c r="E18" s="68">
        <v>1</v>
      </c>
      <c r="F18" s="68">
        <v>0</v>
      </c>
      <c r="G18" s="68">
        <v>0</v>
      </c>
      <c r="H18" s="68">
        <v>0</v>
      </c>
    </row>
    <row r="19" spans="1:8" s="110" customFormat="1" ht="15.75" customHeight="1">
      <c r="A19" s="67" t="s">
        <v>160</v>
      </c>
      <c r="B19" s="262">
        <v>119</v>
      </c>
      <c r="C19" s="68">
        <v>97</v>
      </c>
      <c r="D19" s="68">
        <v>6</v>
      </c>
      <c r="E19" s="68">
        <v>7</v>
      </c>
      <c r="F19" s="68">
        <v>9</v>
      </c>
      <c r="G19" s="68">
        <v>0</v>
      </c>
      <c r="H19" s="68">
        <v>0</v>
      </c>
    </row>
    <row r="20" spans="1:8" s="110" customFormat="1" ht="15.75" customHeight="1">
      <c r="A20" s="67" t="s">
        <v>166</v>
      </c>
      <c r="B20" s="262">
        <v>154</v>
      </c>
      <c r="C20" s="68">
        <v>143</v>
      </c>
      <c r="D20" s="68">
        <v>5</v>
      </c>
      <c r="E20" s="68">
        <v>3</v>
      </c>
      <c r="F20" s="68">
        <v>3</v>
      </c>
      <c r="G20" s="68">
        <v>0</v>
      </c>
      <c r="H20" s="68">
        <v>0</v>
      </c>
    </row>
    <row r="21" spans="1:8" s="110" customFormat="1" ht="15.75" customHeight="1">
      <c r="A21" s="93" t="s">
        <v>276</v>
      </c>
      <c r="B21" s="261">
        <v>470</v>
      </c>
      <c r="C21" s="98">
        <v>367</v>
      </c>
      <c r="D21" s="98">
        <v>59</v>
      </c>
      <c r="E21" s="98">
        <v>16</v>
      </c>
      <c r="F21" s="98">
        <v>28</v>
      </c>
      <c r="G21" s="98">
        <v>0</v>
      </c>
      <c r="H21" s="98">
        <v>0</v>
      </c>
    </row>
    <row r="22" spans="1:8" s="110" customFormat="1" ht="15.75" customHeight="1">
      <c r="A22" s="67" t="s">
        <v>161</v>
      </c>
      <c r="B22" s="262">
        <v>48</v>
      </c>
      <c r="C22" s="68">
        <v>37</v>
      </c>
      <c r="D22" s="68">
        <v>5</v>
      </c>
      <c r="E22" s="68">
        <v>0</v>
      </c>
      <c r="F22" s="68">
        <v>6</v>
      </c>
      <c r="G22" s="68">
        <v>0</v>
      </c>
      <c r="H22" s="68">
        <v>0</v>
      </c>
    </row>
    <row r="23" spans="1:8" s="110" customFormat="1" ht="15.75" customHeight="1">
      <c r="A23" s="67" t="s">
        <v>240</v>
      </c>
      <c r="B23" s="262">
        <v>153</v>
      </c>
      <c r="C23" s="68">
        <v>115</v>
      </c>
      <c r="D23" s="68">
        <v>25</v>
      </c>
      <c r="E23" s="68">
        <v>5</v>
      </c>
      <c r="F23" s="68">
        <v>8</v>
      </c>
      <c r="G23" s="68">
        <v>0</v>
      </c>
      <c r="H23" s="68">
        <v>0</v>
      </c>
    </row>
    <row r="24" spans="1:8" s="110" customFormat="1" ht="15.75" customHeight="1">
      <c r="A24" s="67" t="s">
        <v>163</v>
      </c>
      <c r="B24" s="262">
        <v>41</v>
      </c>
      <c r="C24" s="68">
        <v>31</v>
      </c>
      <c r="D24" s="68">
        <v>4</v>
      </c>
      <c r="E24" s="68">
        <v>3</v>
      </c>
      <c r="F24" s="68">
        <v>3</v>
      </c>
      <c r="G24" s="68">
        <v>0</v>
      </c>
      <c r="H24" s="68">
        <v>0</v>
      </c>
    </row>
    <row r="25" spans="1:8" s="110" customFormat="1" ht="15.75" customHeight="1">
      <c r="A25" s="67" t="s">
        <v>245</v>
      </c>
      <c r="B25" s="262">
        <v>79</v>
      </c>
      <c r="C25" s="68">
        <v>55</v>
      </c>
      <c r="D25" s="68">
        <v>14</v>
      </c>
      <c r="E25" s="68">
        <v>2</v>
      </c>
      <c r="F25" s="68">
        <v>8</v>
      </c>
      <c r="G25" s="68">
        <v>0</v>
      </c>
      <c r="H25" s="68">
        <v>0</v>
      </c>
    </row>
    <row r="26" spans="1:8" s="110" customFormat="1" ht="15.75" customHeight="1">
      <c r="A26" s="67" t="s">
        <v>165</v>
      </c>
      <c r="B26" s="262">
        <v>90</v>
      </c>
      <c r="C26" s="68">
        <v>74</v>
      </c>
      <c r="D26" s="68">
        <v>9</v>
      </c>
      <c r="E26" s="68">
        <v>4</v>
      </c>
      <c r="F26" s="68">
        <v>3</v>
      </c>
      <c r="G26" s="68">
        <v>0</v>
      </c>
      <c r="H26" s="68">
        <v>0</v>
      </c>
    </row>
    <row r="27" spans="1:8" s="110" customFormat="1" ht="15.75" customHeight="1">
      <c r="A27" s="67" t="s">
        <v>166</v>
      </c>
      <c r="B27" s="262">
        <v>59</v>
      </c>
      <c r="C27" s="68">
        <v>55</v>
      </c>
      <c r="D27" s="68">
        <v>2</v>
      </c>
      <c r="E27" s="68">
        <v>2</v>
      </c>
      <c r="F27" s="68">
        <v>0</v>
      </c>
      <c r="G27" s="68">
        <v>0</v>
      </c>
      <c r="H27" s="68">
        <v>0</v>
      </c>
    </row>
    <row r="28" spans="1:8" s="110" customFormat="1" ht="15.75" customHeight="1">
      <c r="A28" s="93" t="s">
        <v>277</v>
      </c>
      <c r="B28" s="261">
        <v>109</v>
      </c>
      <c r="C28" s="98">
        <v>102</v>
      </c>
      <c r="D28" s="98">
        <v>4</v>
      </c>
      <c r="E28" s="98">
        <v>1</v>
      </c>
      <c r="F28" s="98">
        <v>2</v>
      </c>
      <c r="G28" s="98">
        <v>0</v>
      </c>
      <c r="H28" s="98">
        <v>0</v>
      </c>
    </row>
    <row r="29" spans="1:8" s="110" customFormat="1" ht="15.75" customHeight="1">
      <c r="A29" s="67" t="s">
        <v>278</v>
      </c>
      <c r="B29" s="262">
        <v>154</v>
      </c>
      <c r="C29" s="68">
        <v>141</v>
      </c>
      <c r="D29" s="68">
        <v>7</v>
      </c>
      <c r="E29" s="68">
        <v>2</v>
      </c>
      <c r="F29" s="68">
        <v>4</v>
      </c>
      <c r="G29" s="68">
        <v>0</v>
      </c>
      <c r="H29" s="68">
        <v>0</v>
      </c>
    </row>
    <row r="30" spans="1:8" s="110" customFormat="1" ht="15.75" customHeight="1">
      <c r="A30" s="67" t="s">
        <v>194</v>
      </c>
      <c r="B30" s="262">
        <v>40</v>
      </c>
      <c r="C30" s="68">
        <v>38</v>
      </c>
      <c r="D30" s="68">
        <v>0</v>
      </c>
      <c r="E30" s="68">
        <v>1</v>
      </c>
      <c r="F30" s="68">
        <v>1</v>
      </c>
      <c r="G30" s="68">
        <v>0</v>
      </c>
      <c r="H30" s="68">
        <v>0</v>
      </c>
    </row>
    <row r="31" spans="1:8" s="110" customFormat="1" ht="15.75" customHeight="1">
      <c r="A31" s="67" t="s">
        <v>172</v>
      </c>
      <c r="B31" s="262">
        <v>44</v>
      </c>
      <c r="C31" s="68">
        <v>40</v>
      </c>
      <c r="D31" s="68">
        <v>2</v>
      </c>
      <c r="E31" s="68">
        <v>0</v>
      </c>
      <c r="F31" s="68">
        <v>2</v>
      </c>
      <c r="G31" s="68">
        <v>0</v>
      </c>
      <c r="H31" s="68">
        <v>0</v>
      </c>
    </row>
    <row r="32" spans="1:8" s="110" customFormat="1" ht="15.75" customHeight="1">
      <c r="A32" s="67" t="s">
        <v>166</v>
      </c>
      <c r="B32" s="262">
        <v>70</v>
      </c>
      <c r="C32" s="68">
        <v>63</v>
      </c>
      <c r="D32" s="68">
        <v>5</v>
      </c>
      <c r="E32" s="68">
        <v>1</v>
      </c>
      <c r="F32" s="68">
        <v>1</v>
      </c>
      <c r="G32" s="68">
        <v>0</v>
      </c>
      <c r="H32" s="68">
        <v>0</v>
      </c>
    </row>
    <row r="33" spans="1:8" s="110" customFormat="1" ht="15.75" customHeight="1">
      <c r="A33" s="93" t="s">
        <v>279</v>
      </c>
      <c r="B33" s="261">
        <v>205</v>
      </c>
      <c r="C33" s="98">
        <v>198</v>
      </c>
      <c r="D33" s="98">
        <v>6</v>
      </c>
      <c r="E33" s="98">
        <v>0</v>
      </c>
      <c r="F33" s="98">
        <v>1</v>
      </c>
      <c r="G33" s="98">
        <v>0</v>
      </c>
      <c r="H33" s="98">
        <v>0</v>
      </c>
    </row>
    <row r="34" spans="1:8" s="110" customFormat="1" ht="15.75" customHeight="1">
      <c r="A34" s="67" t="s">
        <v>281</v>
      </c>
      <c r="B34" s="262">
        <v>62</v>
      </c>
      <c r="C34" s="68">
        <v>60</v>
      </c>
      <c r="D34" s="68">
        <v>2</v>
      </c>
      <c r="E34" s="68">
        <v>0</v>
      </c>
      <c r="F34" s="68">
        <v>0</v>
      </c>
      <c r="G34" s="68">
        <v>0</v>
      </c>
      <c r="H34" s="68">
        <v>0</v>
      </c>
    </row>
    <row r="35" spans="1:8" s="110" customFormat="1" ht="15.75" customHeight="1">
      <c r="A35" s="67" t="s">
        <v>190</v>
      </c>
      <c r="B35" s="262">
        <v>20</v>
      </c>
      <c r="C35" s="68">
        <v>20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s="110" customFormat="1" ht="15.75" customHeight="1">
      <c r="A36" s="110" t="s">
        <v>166</v>
      </c>
      <c r="B36" s="262">
        <v>123</v>
      </c>
      <c r="C36" s="68">
        <v>118</v>
      </c>
      <c r="D36" s="68">
        <v>4</v>
      </c>
      <c r="E36" s="68">
        <v>0</v>
      </c>
      <c r="F36" s="68">
        <v>1</v>
      </c>
      <c r="G36" s="68">
        <v>0</v>
      </c>
      <c r="H36" s="68">
        <v>0</v>
      </c>
    </row>
    <row r="37" spans="1:13" s="110" customFormat="1" ht="15.75" customHeight="1" thickBot="1">
      <c r="A37" s="170" t="s">
        <v>280</v>
      </c>
      <c r="B37" s="266">
        <v>6</v>
      </c>
      <c r="C37" s="99">
        <v>5</v>
      </c>
      <c r="D37" s="99">
        <v>0</v>
      </c>
      <c r="E37" s="99">
        <v>0</v>
      </c>
      <c r="F37" s="99">
        <v>1</v>
      </c>
      <c r="G37" s="99">
        <v>0</v>
      </c>
      <c r="H37" s="99">
        <v>0</v>
      </c>
      <c r="I37" s="25"/>
      <c r="J37" s="25"/>
      <c r="K37" s="25"/>
      <c r="L37" s="25"/>
      <c r="M37" s="25"/>
    </row>
    <row r="38" spans="1:13" ht="14.25">
      <c r="A38" s="391" t="s">
        <v>635</v>
      </c>
      <c r="B38" s="391"/>
      <c r="C38" s="391"/>
      <c r="D38" s="391"/>
      <c r="E38" s="391"/>
      <c r="F38" s="391"/>
      <c r="G38" s="391"/>
      <c r="H38" s="391"/>
      <c r="I38" s="181"/>
      <c r="J38" s="181"/>
      <c r="K38" s="181"/>
      <c r="L38" s="181"/>
      <c r="M38" s="181"/>
    </row>
  </sheetData>
  <sheetProtection/>
  <mergeCells count="5">
    <mergeCell ref="A2:H2"/>
    <mergeCell ref="A3:H3"/>
    <mergeCell ref="A1:H1"/>
    <mergeCell ref="C4:H4"/>
    <mergeCell ref="A38:H38"/>
  </mergeCells>
  <printOptions/>
  <pageMargins left="0.7" right="0.7" top="0.787401575" bottom="0.7874015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="85" zoomScaleNormal="85" zoomScalePageLayoutView="0" workbookViewId="0" topLeftCell="A1">
      <selection activeCell="F19" sqref="F19"/>
    </sheetView>
  </sheetViews>
  <sheetFormatPr defaultColWidth="11.421875" defaultRowHeight="12.75"/>
  <cols>
    <col min="1" max="1" width="12.140625" style="41" customWidth="1"/>
    <col min="2" max="2" width="6.7109375" style="41" bestFit="1" customWidth="1"/>
    <col min="3" max="3" width="14.421875" style="41" bestFit="1" customWidth="1"/>
    <col min="4" max="4" width="9.421875" style="41" bestFit="1" customWidth="1"/>
    <col min="5" max="5" width="17.7109375" style="41" customWidth="1"/>
    <col min="6" max="6" width="62.140625" style="41" customWidth="1"/>
    <col min="7" max="16384" width="11.421875" style="41" customWidth="1"/>
  </cols>
  <sheetData>
    <row r="1" spans="1:6" ht="18.75" customHeight="1">
      <c r="A1" s="407" t="s">
        <v>355</v>
      </c>
      <c r="B1" s="407"/>
      <c r="C1" s="407"/>
      <c r="D1" s="407"/>
      <c r="E1" s="407"/>
      <c r="F1" s="407"/>
    </row>
    <row r="2" spans="1:5" ht="16.5" customHeight="1">
      <c r="A2" s="416" t="s">
        <v>528</v>
      </c>
      <c r="B2" s="416"/>
      <c r="C2" s="416"/>
      <c r="D2" s="416"/>
      <c r="E2" s="416"/>
    </row>
    <row r="3" spans="1:5" ht="15.75" customHeight="1" thickBot="1">
      <c r="A3" s="405" t="s">
        <v>487</v>
      </c>
      <c r="B3" s="405"/>
      <c r="C3" s="405"/>
      <c r="D3" s="405"/>
      <c r="E3" s="405"/>
    </row>
    <row r="4" spans="1:5" ht="15.75" customHeight="1">
      <c r="A4" s="417"/>
      <c r="B4" s="339" t="s">
        <v>134</v>
      </c>
      <c r="C4" s="411" t="s">
        <v>122</v>
      </c>
      <c r="D4" s="411"/>
      <c r="E4" s="411"/>
    </row>
    <row r="5" spans="1:5" ht="15.75" customHeight="1">
      <c r="A5" s="417"/>
      <c r="B5" s="340"/>
      <c r="C5" s="335" t="s">
        <v>126</v>
      </c>
      <c r="D5" s="335" t="s">
        <v>130</v>
      </c>
      <c r="E5" s="335" t="s">
        <v>132</v>
      </c>
    </row>
    <row r="6" spans="1:5" ht="15.75" customHeight="1" thickBot="1">
      <c r="A6" s="382" t="s">
        <v>136</v>
      </c>
      <c r="B6" s="272">
        <v>12</v>
      </c>
      <c r="C6" s="172">
        <v>1</v>
      </c>
      <c r="D6" s="172">
        <v>8</v>
      </c>
      <c r="E6" s="172">
        <v>3</v>
      </c>
    </row>
    <row r="7" spans="1:5" ht="15.75" customHeight="1">
      <c r="A7" s="391" t="s">
        <v>635</v>
      </c>
      <c r="B7" s="391"/>
      <c r="C7" s="391"/>
      <c r="D7" s="391"/>
      <c r="E7" s="391"/>
    </row>
    <row r="8" ht="15.75" customHeight="1"/>
    <row r="9" spans="1:6" ht="15.75" customHeight="1">
      <c r="A9" s="421" t="s">
        <v>202</v>
      </c>
      <c r="B9" s="421"/>
      <c r="C9" s="421"/>
      <c r="D9" s="421"/>
      <c r="E9" s="421"/>
      <c r="F9" s="67"/>
    </row>
    <row r="10" spans="1:6" ht="15.75" customHeight="1">
      <c r="A10" s="420" t="s">
        <v>452</v>
      </c>
      <c r="B10" s="420"/>
      <c r="C10" s="420"/>
      <c r="D10" s="420"/>
      <c r="E10" s="420"/>
      <c r="F10" s="420"/>
    </row>
    <row r="11" ht="15.75" customHeight="1"/>
  </sheetData>
  <sheetProtection/>
  <mergeCells count="8">
    <mergeCell ref="A1:F1"/>
    <mergeCell ref="A7:E7"/>
    <mergeCell ref="C4:E4"/>
    <mergeCell ref="A10:F10"/>
    <mergeCell ref="A9:E9"/>
    <mergeCell ref="A2:E2"/>
    <mergeCell ref="A3:E3"/>
    <mergeCell ref="A4:A5"/>
  </mergeCells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zoomScale="85" zoomScaleNormal="85" zoomScalePageLayoutView="0" workbookViewId="0" topLeftCell="A1">
      <selection activeCell="M43" sqref="M43"/>
    </sheetView>
  </sheetViews>
  <sheetFormatPr defaultColWidth="11.421875" defaultRowHeight="12.75"/>
  <cols>
    <col min="1" max="1" width="19.57421875" style="74" bestFit="1" customWidth="1"/>
    <col min="2" max="2" width="6.8515625" style="74" bestFit="1" customWidth="1"/>
    <col min="3" max="3" width="7.7109375" style="74" bestFit="1" customWidth="1"/>
    <col min="4" max="4" width="9.28125" style="74" bestFit="1" customWidth="1"/>
    <col min="5" max="5" width="8.8515625" style="74" bestFit="1" customWidth="1"/>
    <col min="6" max="6" width="14.140625" style="74" bestFit="1" customWidth="1"/>
    <col min="7" max="7" width="9.28125" style="74" bestFit="1" customWidth="1"/>
    <col min="8" max="8" width="9.00390625" style="74" bestFit="1" customWidth="1"/>
    <col min="9" max="9" width="9.28125" style="74" bestFit="1" customWidth="1"/>
    <col min="10" max="10" width="10.28125" style="74" bestFit="1" customWidth="1"/>
    <col min="11" max="11" width="9.28125" style="74" bestFit="1" customWidth="1"/>
    <col min="12" max="12" width="15.140625" style="74" bestFit="1" customWidth="1"/>
    <col min="13" max="16384" width="11.421875" style="74" customWidth="1"/>
  </cols>
  <sheetData>
    <row r="1" spans="1:12" ht="18" customHeight="1">
      <c r="A1" s="412" t="s">
        <v>356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15.75" customHeight="1">
      <c r="A2" s="413" t="s">
        <v>357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15.75" customHeight="1">
      <c r="A3" s="413" t="s">
        <v>528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23" s="77" customFormat="1" ht="15.75" thickBot="1">
      <c r="A4" s="414" t="s">
        <v>488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12" s="77" customFormat="1" ht="15.75">
      <c r="A5" s="80"/>
      <c r="B5" s="415" t="s">
        <v>122</v>
      </c>
      <c r="C5" s="415"/>
      <c r="D5" s="415"/>
      <c r="E5" s="415"/>
      <c r="F5" s="415"/>
      <c r="G5" s="415"/>
      <c r="H5" s="415"/>
      <c r="I5" s="415"/>
      <c r="J5" s="415"/>
      <c r="K5" s="347"/>
      <c r="L5" s="347"/>
    </row>
    <row r="6" spans="1:12" s="77" customFormat="1" ht="15.75">
      <c r="A6" s="80"/>
      <c r="B6" s="348" t="s">
        <v>134</v>
      </c>
      <c r="C6" s="343" t="s">
        <v>123</v>
      </c>
      <c r="D6" s="343" t="s">
        <v>124</v>
      </c>
      <c r="E6" s="343" t="s">
        <v>125</v>
      </c>
      <c r="F6" s="343" t="s">
        <v>126</v>
      </c>
      <c r="G6" s="343" t="s">
        <v>127</v>
      </c>
      <c r="H6" s="343" t="s">
        <v>129</v>
      </c>
      <c r="I6" s="343" t="s">
        <v>130</v>
      </c>
      <c r="J6" s="343" t="s">
        <v>131</v>
      </c>
      <c r="K6" s="342" t="s">
        <v>132</v>
      </c>
      <c r="L6" s="342" t="s">
        <v>133</v>
      </c>
    </row>
    <row r="7" spans="1:12" s="77" customFormat="1" ht="15.75">
      <c r="A7" s="79" t="s">
        <v>134</v>
      </c>
      <c r="B7" s="262">
        <v>19</v>
      </c>
      <c r="C7" s="68">
        <v>3</v>
      </c>
      <c r="D7" s="68">
        <v>2</v>
      </c>
      <c r="E7" s="68">
        <v>2</v>
      </c>
      <c r="F7" s="68">
        <v>1</v>
      </c>
      <c r="G7" s="68">
        <v>1</v>
      </c>
      <c r="H7" s="68">
        <v>2</v>
      </c>
      <c r="I7" s="68">
        <v>2</v>
      </c>
      <c r="J7" s="68">
        <v>1</v>
      </c>
      <c r="K7" s="68">
        <v>4</v>
      </c>
      <c r="L7" s="68">
        <v>1</v>
      </c>
    </row>
    <row r="8" spans="1:12" s="77" customFormat="1" ht="15.75">
      <c r="A8" s="93" t="s">
        <v>136</v>
      </c>
      <c r="B8" s="261">
        <v>1</v>
      </c>
      <c r="C8" s="98">
        <v>0</v>
      </c>
      <c r="D8" s="98">
        <v>0</v>
      </c>
      <c r="E8" s="98">
        <v>0</v>
      </c>
      <c r="F8" s="98">
        <v>1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</row>
    <row r="9" spans="1:12" s="77" customFormat="1" ht="15.75">
      <c r="A9" s="93" t="s">
        <v>261</v>
      </c>
      <c r="B9" s="261">
        <v>3</v>
      </c>
      <c r="C9" s="98">
        <v>0</v>
      </c>
      <c r="D9" s="98">
        <v>0</v>
      </c>
      <c r="E9" s="98">
        <v>0</v>
      </c>
      <c r="F9" s="98">
        <v>0</v>
      </c>
      <c r="G9" s="98">
        <v>1</v>
      </c>
      <c r="H9" s="98">
        <v>1</v>
      </c>
      <c r="I9" s="98">
        <v>0</v>
      </c>
      <c r="J9" s="98">
        <v>0</v>
      </c>
      <c r="K9" s="98">
        <v>1</v>
      </c>
      <c r="L9" s="98">
        <v>0</v>
      </c>
    </row>
    <row r="10" spans="1:12" s="77" customFormat="1" ht="15">
      <c r="A10" s="67" t="s">
        <v>148</v>
      </c>
      <c r="B10" s="262">
        <v>3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1</v>
      </c>
      <c r="I10" s="68">
        <v>0</v>
      </c>
      <c r="J10" s="68">
        <v>0</v>
      </c>
      <c r="K10" s="68">
        <v>1</v>
      </c>
      <c r="L10" s="68">
        <v>0</v>
      </c>
    </row>
    <row r="11" spans="1:12" s="77" customFormat="1" ht="15.75">
      <c r="A11" s="93" t="s">
        <v>276</v>
      </c>
      <c r="B11" s="261">
        <v>1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1</v>
      </c>
      <c r="K11" s="98">
        <v>0</v>
      </c>
      <c r="L11" s="98">
        <v>0</v>
      </c>
    </row>
    <row r="12" spans="1:12" s="77" customFormat="1" ht="15">
      <c r="A12" s="67" t="s">
        <v>192</v>
      </c>
      <c r="B12" s="262">
        <v>1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>
        <v>0</v>
      </c>
    </row>
    <row r="13" spans="1:12" s="77" customFormat="1" ht="15.75">
      <c r="A13" s="93" t="s">
        <v>278</v>
      </c>
      <c r="B13" s="261">
        <v>13</v>
      </c>
      <c r="C13" s="98">
        <v>2</v>
      </c>
      <c r="D13" s="98">
        <v>2</v>
      </c>
      <c r="E13" s="98">
        <v>2</v>
      </c>
      <c r="F13" s="98">
        <v>0</v>
      </c>
      <c r="G13" s="98">
        <v>0</v>
      </c>
      <c r="H13" s="98">
        <v>1</v>
      </c>
      <c r="I13" s="98">
        <v>2</v>
      </c>
      <c r="J13" s="98">
        <v>0</v>
      </c>
      <c r="K13" s="98">
        <v>3</v>
      </c>
      <c r="L13" s="98">
        <v>1</v>
      </c>
    </row>
    <row r="14" spans="1:12" s="77" customFormat="1" ht="15">
      <c r="A14" s="67" t="s">
        <v>172</v>
      </c>
      <c r="B14" s="262">
        <v>12</v>
      </c>
      <c r="C14" s="68">
        <v>1</v>
      </c>
      <c r="D14" s="68">
        <v>2</v>
      </c>
      <c r="E14" s="68">
        <v>2</v>
      </c>
      <c r="F14" s="68">
        <v>0</v>
      </c>
      <c r="G14" s="68">
        <v>0</v>
      </c>
      <c r="H14" s="68">
        <v>1</v>
      </c>
      <c r="I14" s="68">
        <v>2</v>
      </c>
      <c r="J14" s="68">
        <v>0</v>
      </c>
      <c r="K14" s="68">
        <v>3</v>
      </c>
      <c r="L14" s="68">
        <v>1</v>
      </c>
    </row>
    <row r="15" spans="1:12" s="77" customFormat="1" ht="15">
      <c r="A15" s="67" t="s">
        <v>194</v>
      </c>
      <c r="B15" s="262">
        <v>1</v>
      </c>
      <c r="C15" s="68">
        <v>1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</row>
    <row r="16" spans="1:12" s="77" customFormat="1" ht="15.75">
      <c r="A16" s="93" t="s">
        <v>280</v>
      </c>
      <c r="B16" s="261">
        <v>1</v>
      </c>
      <c r="C16" s="98">
        <v>1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</row>
    <row r="17" spans="1:13" s="77" customFormat="1" ht="15.75" thickBot="1">
      <c r="A17" s="174" t="s">
        <v>171</v>
      </c>
      <c r="B17" s="263">
        <v>1</v>
      </c>
      <c r="C17" s="83">
        <v>1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187"/>
    </row>
    <row r="18" spans="1:13" ht="14.25">
      <c r="A18" s="391" t="s">
        <v>635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81"/>
    </row>
  </sheetData>
  <sheetProtection/>
  <mergeCells count="6">
    <mergeCell ref="B5:J5"/>
    <mergeCell ref="A4:L4"/>
    <mergeCell ref="A1:L1"/>
    <mergeCell ref="A2:L2"/>
    <mergeCell ref="A3:L3"/>
    <mergeCell ref="A18:L18"/>
  </mergeCells>
  <printOptions/>
  <pageMargins left="0.7" right="0.7" top="0.787401575" bottom="0.7874015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="85" zoomScaleNormal="85" zoomScalePageLayoutView="0" workbookViewId="0" topLeftCell="A1">
      <selection activeCell="F19" sqref="F19"/>
    </sheetView>
  </sheetViews>
  <sheetFormatPr defaultColWidth="11.421875" defaultRowHeight="12.75"/>
  <cols>
    <col min="1" max="1" width="38.28125" style="8" bestFit="1" customWidth="1"/>
    <col min="2" max="2" width="6.8515625" style="8" bestFit="1" customWidth="1"/>
    <col min="3" max="3" width="9.57421875" style="8" bestFit="1" customWidth="1"/>
    <col min="4" max="4" width="10.28125" style="8" bestFit="1" customWidth="1"/>
    <col min="5" max="16384" width="11.421875" style="8" customWidth="1"/>
  </cols>
  <sheetData>
    <row r="1" spans="1:5" ht="18" customHeight="1">
      <c r="A1" s="407" t="s">
        <v>358</v>
      </c>
      <c r="B1" s="407"/>
      <c r="C1" s="407"/>
      <c r="D1" s="407"/>
      <c r="E1" s="407"/>
    </row>
    <row r="2" spans="1:4" ht="15.75" customHeight="1">
      <c r="A2" s="416" t="s">
        <v>357</v>
      </c>
      <c r="B2" s="416"/>
      <c r="C2" s="416"/>
      <c r="D2" s="416"/>
    </row>
    <row r="3" spans="1:4" ht="15.75" customHeight="1">
      <c r="A3" s="416" t="s">
        <v>528</v>
      </c>
      <c r="B3" s="416"/>
      <c r="C3" s="416"/>
      <c r="D3" s="416"/>
    </row>
    <row r="4" spans="1:4" ht="15.75" customHeight="1" thickBot="1">
      <c r="A4" s="405" t="s">
        <v>489</v>
      </c>
      <c r="B4" s="405"/>
      <c r="C4" s="405"/>
      <c r="D4" s="405"/>
    </row>
    <row r="5" spans="1:4" ht="15.75" customHeight="1">
      <c r="A5" s="417"/>
      <c r="B5" s="333" t="s">
        <v>134</v>
      </c>
      <c r="C5" s="406" t="s">
        <v>359</v>
      </c>
      <c r="D5" s="406"/>
    </row>
    <row r="6" spans="1:4" ht="15.75" customHeight="1">
      <c r="A6" s="417"/>
      <c r="B6" s="334"/>
      <c r="C6" s="335" t="s">
        <v>22</v>
      </c>
      <c r="D6" s="335" t="s">
        <v>21</v>
      </c>
    </row>
    <row r="7" spans="1:4" ht="15.75" customHeight="1">
      <c r="A7" s="141" t="s">
        <v>134</v>
      </c>
      <c r="B7" s="261">
        <v>19</v>
      </c>
      <c r="C7" s="98">
        <v>7</v>
      </c>
      <c r="D7" s="98">
        <v>12</v>
      </c>
    </row>
    <row r="8" spans="1:4" ht="15.75" customHeight="1">
      <c r="A8" s="143" t="s">
        <v>531</v>
      </c>
      <c r="B8" s="262">
        <v>1</v>
      </c>
      <c r="C8" s="68">
        <v>0</v>
      </c>
      <c r="D8" s="68">
        <v>1</v>
      </c>
    </row>
    <row r="9" spans="1:4" ht="15.75" customHeight="1" thickBot="1">
      <c r="A9" s="168" t="s">
        <v>360</v>
      </c>
      <c r="B9" s="263">
        <v>18</v>
      </c>
      <c r="C9" s="83">
        <v>7</v>
      </c>
      <c r="D9" s="83">
        <v>11</v>
      </c>
    </row>
    <row r="10" spans="1:5" ht="15.75" customHeight="1">
      <c r="A10" s="391" t="s">
        <v>635</v>
      </c>
      <c r="B10" s="391"/>
      <c r="C10" s="391"/>
      <c r="D10" s="391"/>
      <c r="E10" s="150"/>
    </row>
  </sheetData>
  <sheetProtection/>
  <mergeCells count="7">
    <mergeCell ref="A1:E1"/>
    <mergeCell ref="A10:D10"/>
    <mergeCell ref="C5:D5"/>
    <mergeCell ref="A2:D2"/>
    <mergeCell ref="A4:D4"/>
    <mergeCell ref="A5:A6"/>
    <mergeCell ref="A3:D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76"/>
  <sheetViews>
    <sheetView zoomScale="85" zoomScaleNormal="85" zoomScalePageLayoutView="0" workbookViewId="0" topLeftCell="A1">
      <selection activeCell="O29" sqref="O29"/>
    </sheetView>
  </sheetViews>
  <sheetFormatPr defaultColWidth="11.421875" defaultRowHeight="12.75"/>
  <cols>
    <col min="1" max="1" width="4.421875" style="9" customWidth="1"/>
    <col min="2" max="2" width="60.421875" style="9" bestFit="1" customWidth="1"/>
    <col min="3" max="4" width="12.7109375" style="9" customWidth="1"/>
    <col min="5" max="16384" width="11.421875" style="9" customWidth="1"/>
  </cols>
  <sheetData>
    <row r="1" spans="1:4" s="7" customFormat="1" ht="18">
      <c r="A1" s="26" t="s">
        <v>230</v>
      </c>
      <c r="B1" s="26"/>
      <c r="C1" s="18"/>
      <c r="D1" s="19"/>
    </row>
    <row r="2" spans="1:4" ht="15.75" customHeight="1" thickBot="1">
      <c r="A2" s="390" t="s">
        <v>634</v>
      </c>
      <c r="B2" s="390"/>
      <c r="C2" s="390"/>
      <c r="D2" s="390"/>
    </row>
    <row r="3" spans="1:4" s="6" customFormat="1" ht="15.75" customHeight="1">
      <c r="A3" s="28" t="s">
        <v>70</v>
      </c>
      <c r="B3" s="29"/>
      <c r="C3" s="30" t="s">
        <v>527</v>
      </c>
      <c r="D3" s="30" t="s">
        <v>435</v>
      </c>
    </row>
    <row r="4" spans="1:4" s="6" customFormat="1" ht="15.75" customHeight="1">
      <c r="A4" s="28"/>
      <c r="B4" s="29"/>
      <c r="C4" s="31"/>
      <c r="D4" s="31"/>
    </row>
    <row r="5" spans="1:5" ht="15.75" customHeight="1">
      <c r="A5" s="32" t="s">
        <v>71</v>
      </c>
      <c r="B5" s="33" t="s">
        <v>72</v>
      </c>
      <c r="C5" s="34">
        <f>+C6+C7</f>
        <v>38747</v>
      </c>
      <c r="D5" s="34">
        <f>+D6+D7</f>
        <v>38378</v>
      </c>
      <c r="E5" s="17"/>
    </row>
    <row r="6" spans="1:4" ht="15.75" customHeight="1">
      <c r="A6" s="32" t="s">
        <v>73</v>
      </c>
      <c r="B6" s="33" t="s">
        <v>74</v>
      </c>
      <c r="C6" s="34">
        <v>25485</v>
      </c>
      <c r="D6" s="34">
        <v>25321</v>
      </c>
    </row>
    <row r="7" spans="1:4" ht="15.75" customHeight="1">
      <c r="A7" s="32" t="s">
        <v>75</v>
      </c>
      <c r="B7" s="33" t="s">
        <v>76</v>
      </c>
      <c r="C7" s="34">
        <v>13262</v>
      </c>
      <c r="D7" s="35">
        <v>13057</v>
      </c>
    </row>
    <row r="8" spans="1:6" s="8" customFormat="1" ht="15.75" customHeight="1">
      <c r="A8" s="36"/>
      <c r="B8" s="37" t="s">
        <v>77</v>
      </c>
      <c r="C8" s="38"/>
      <c r="D8" s="38"/>
      <c r="F8" s="27"/>
    </row>
    <row r="9" spans="1:4" s="8" customFormat="1" ht="15.75" customHeight="1">
      <c r="A9" s="36" t="s">
        <v>78</v>
      </c>
      <c r="B9" s="39" t="s">
        <v>79</v>
      </c>
      <c r="C9" s="40">
        <v>2917</v>
      </c>
      <c r="D9" s="40">
        <v>2969</v>
      </c>
    </row>
    <row r="10" spans="1:4" s="8" customFormat="1" ht="15.75" customHeight="1">
      <c r="A10" s="36" t="s">
        <v>80</v>
      </c>
      <c r="B10" s="39" t="s">
        <v>256</v>
      </c>
      <c r="C10" s="40">
        <v>6372</v>
      </c>
      <c r="D10" s="40">
        <v>6173</v>
      </c>
    </row>
    <row r="11" spans="1:4" s="8" customFormat="1" ht="15.75" customHeight="1">
      <c r="A11" s="36" t="s">
        <v>82</v>
      </c>
      <c r="B11" s="39" t="s">
        <v>81</v>
      </c>
      <c r="C11" s="40">
        <v>3921</v>
      </c>
      <c r="D11" s="40">
        <v>3861</v>
      </c>
    </row>
    <row r="12" spans="1:4" s="8" customFormat="1" ht="15.75" customHeight="1">
      <c r="A12" s="36" t="s">
        <v>83</v>
      </c>
      <c r="B12" s="39" t="s">
        <v>232</v>
      </c>
      <c r="C12" s="40">
        <v>19</v>
      </c>
      <c r="D12" s="40">
        <v>21</v>
      </c>
    </row>
    <row r="13" spans="1:4" s="8" customFormat="1" ht="15.75" customHeight="1">
      <c r="A13" s="36" t="s">
        <v>84</v>
      </c>
      <c r="B13" s="39" t="s">
        <v>233</v>
      </c>
      <c r="C13" s="40">
        <v>21</v>
      </c>
      <c r="D13" s="40">
        <v>20</v>
      </c>
    </row>
    <row r="14" spans="1:4" s="8" customFormat="1" ht="15.75" customHeight="1">
      <c r="A14" s="36" t="s">
        <v>86</v>
      </c>
      <c r="B14" s="39" t="s">
        <v>138</v>
      </c>
      <c r="C14" s="40">
        <v>12</v>
      </c>
      <c r="D14" s="40">
        <v>13</v>
      </c>
    </row>
    <row r="15" spans="1:4" s="8" customFormat="1" ht="15.75" customHeight="1">
      <c r="A15" s="36"/>
      <c r="B15" s="41" t="s">
        <v>85</v>
      </c>
      <c r="C15" s="42"/>
      <c r="D15" s="42"/>
    </row>
    <row r="16" spans="1:4" s="8" customFormat="1" ht="15.75" customHeight="1">
      <c r="A16" s="36" t="s">
        <v>88</v>
      </c>
      <c r="B16" s="43" t="s">
        <v>87</v>
      </c>
      <c r="C16" s="42">
        <v>7014</v>
      </c>
      <c r="D16" s="42">
        <v>6929</v>
      </c>
    </row>
    <row r="17" spans="1:4" s="8" customFormat="1" ht="15.75" customHeight="1">
      <c r="A17" s="36" t="s">
        <v>90</v>
      </c>
      <c r="B17" s="43" t="s">
        <v>89</v>
      </c>
      <c r="C17" s="42">
        <v>3732</v>
      </c>
      <c r="D17" s="42">
        <v>3669</v>
      </c>
    </row>
    <row r="18" spans="1:4" s="8" customFormat="1" ht="15.75" customHeight="1">
      <c r="A18" s="36" t="s">
        <v>92</v>
      </c>
      <c r="B18" s="43" t="s">
        <v>91</v>
      </c>
      <c r="C18" s="44">
        <v>2516</v>
      </c>
      <c r="D18" s="44">
        <v>2459</v>
      </c>
    </row>
    <row r="19" spans="1:4" s="8" customFormat="1" ht="15.75" customHeight="1">
      <c r="A19" s="36"/>
      <c r="B19" s="37" t="s">
        <v>625</v>
      </c>
      <c r="C19" s="45">
        <f>+C7/C5</f>
        <v>0.34227165974139934</v>
      </c>
      <c r="D19" s="45">
        <f>+D7/D5</f>
        <v>0.340220959924957</v>
      </c>
    </row>
    <row r="20" spans="1:4" s="8" customFormat="1" ht="15.75" customHeight="1">
      <c r="A20" s="36"/>
      <c r="B20" s="37" t="s">
        <v>626</v>
      </c>
      <c r="C20" s="45">
        <f>+C16/C5</f>
        <v>0.18102046610060132</v>
      </c>
      <c r="D20" s="45">
        <f>+D16/D5</f>
        <v>0.1805461462296107</v>
      </c>
    </row>
    <row r="21" spans="1:4" s="8" customFormat="1" ht="15.75" customHeight="1">
      <c r="A21" s="36"/>
      <c r="B21" s="37" t="s">
        <v>627</v>
      </c>
      <c r="C21" s="45">
        <f>+C16/C7</f>
        <v>0.528879505353642</v>
      </c>
      <c r="D21" s="45">
        <f>+D16/D7</f>
        <v>0.5306732021138086</v>
      </c>
    </row>
    <row r="22" spans="1:4" s="8" customFormat="1" ht="15.75" customHeight="1">
      <c r="A22" s="36"/>
      <c r="B22" s="41"/>
      <c r="C22" s="42"/>
      <c r="D22" s="42"/>
    </row>
    <row r="23" spans="1:4" s="7" customFormat="1" ht="15.75" customHeight="1">
      <c r="A23" s="32" t="s">
        <v>93</v>
      </c>
      <c r="B23" s="33" t="s">
        <v>14</v>
      </c>
      <c r="C23" s="34">
        <f>+C24+C27</f>
        <v>19721</v>
      </c>
      <c r="D23" s="34">
        <f>+D24+D27</f>
        <v>19413</v>
      </c>
    </row>
    <row r="24" spans="1:4" s="7" customFormat="1" ht="15.75" customHeight="1">
      <c r="A24" s="32" t="s">
        <v>94</v>
      </c>
      <c r="B24" s="33" t="s">
        <v>74</v>
      </c>
      <c r="C24" s="34">
        <f>SUM(C25:C26)</f>
        <v>12319</v>
      </c>
      <c r="D24" s="34">
        <f>SUM(D25:D26)</f>
        <v>12202</v>
      </c>
    </row>
    <row r="25" spans="1:19" ht="15.75" customHeight="1">
      <c r="A25" s="36" t="s">
        <v>95</v>
      </c>
      <c r="B25" s="43" t="s">
        <v>207</v>
      </c>
      <c r="C25" s="34">
        <v>721</v>
      </c>
      <c r="D25" s="44">
        <v>732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"/>
      <c r="S25" s="3"/>
    </row>
    <row r="26" spans="1:4" ht="15.75" customHeight="1">
      <c r="A26" s="36" t="s">
        <v>96</v>
      </c>
      <c r="B26" s="43" t="s">
        <v>208</v>
      </c>
      <c r="C26" s="34">
        <v>11598</v>
      </c>
      <c r="D26" s="44">
        <v>11470</v>
      </c>
    </row>
    <row r="27" spans="1:4" s="7" customFormat="1" ht="15.75" customHeight="1">
      <c r="A27" s="32" t="s">
        <v>97</v>
      </c>
      <c r="B27" s="33" t="s">
        <v>76</v>
      </c>
      <c r="C27" s="34">
        <f>SUM(C28:C29)</f>
        <v>7402</v>
      </c>
      <c r="D27" s="34">
        <f>SUM(D28:D29)</f>
        <v>7211</v>
      </c>
    </row>
    <row r="28" spans="1:4" ht="15.75" customHeight="1">
      <c r="A28" s="36" t="s">
        <v>98</v>
      </c>
      <c r="B28" s="43" t="s">
        <v>207</v>
      </c>
      <c r="C28" s="44">
        <f>+C32+C36+C40</f>
        <v>406</v>
      </c>
      <c r="D28" s="44">
        <f>+D32+D36+D40</f>
        <v>406</v>
      </c>
    </row>
    <row r="29" spans="1:4" ht="15.75" customHeight="1">
      <c r="A29" s="36" t="s">
        <v>99</v>
      </c>
      <c r="B29" s="43" t="s">
        <v>208</v>
      </c>
      <c r="C29" s="44">
        <v>6996</v>
      </c>
      <c r="D29" s="44">
        <v>6805</v>
      </c>
    </row>
    <row r="30" spans="1:4" s="8" customFormat="1" ht="15.75" customHeight="1">
      <c r="A30" s="36" t="s">
        <v>100</v>
      </c>
      <c r="B30" s="46" t="s">
        <v>234</v>
      </c>
      <c r="C30" s="44">
        <v>19</v>
      </c>
      <c r="D30" s="44">
        <v>21</v>
      </c>
    </row>
    <row r="31" spans="1:4" s="8" customFormat="1" ht="15.75" customHeight="1">
      <c r="A31" s="36" t="s">
        <v>101</v>
      </c>
      <c r="B31" s="39" t="s">
        <v>87</v>
      </c>
      <c r="C31" s="44">
        <f>SUM(C32:C33)</f>
        <v>4117</v>
      </c>
      <c r="D31" s="44">
        <f>SUM(D32:D33)</f>
        <v>4032</v>
      </c>
    </row>
    <row r="32" spans="1:4" s="8" customFormat="1" ht="15.75" customHeight="1">
      <c r="A32" s="36" t="s">
        <v>102</v>
      </c>
      <c r="B32" s="43" t="s">
        <v>207</v>
      </c>
      <c r="C32" s="44">
        <v>255</v>
      </c>
      <c r="D32" s="44">
        <v>248</v>
      </c>
    </row>
    <row r="33" spans="1:4" s="8" customFormat="1" ht="15.75" customHeight="1">
      <c r="A33" s="36" t="s">
        <v>103</v>
      </c>
      <c r="B33" s="43" t="s">
        <v>208</v>
      </c>
      <c r="C33" s="44">
        <v>3862</v>
      </c>
      <c r="D33" s="44">
        <v>3784</v>
      </c>
    </row>
    <row r="34" spans="1:4" s="8" customFormat="1" ht="15.75" customHeight="1">
      <c r="A34" s="36" t="s">
        <v>104</v>
      </c>
      <c r="B34" s="46" t="s">
        <v>234</v>
      </c>
      <c r="C34" s="44">
        <v>3</v>
      </c>
      <c r="D34" s="44">
        <v>2</v>
      </c>
    </row>
    <row r="35" spans="1:4" s="8" customFormat="1" ht="15.75" customHeight="1">
      <c r="A35" s="36" t="s">
        <v>105</v>
      </c>
      <c r="B35" s="39" t="s">
        <v>89</v>
      </c>
      <c r="C35" s="44">
        <f>SUM(C36:C37)</f>
        <v>2058</v>
      </c>
      <c r="D35" s="44">
        <f>SUM(D36:D37)</f>
        <v>2009</v>
      </c>
    </row>
    <row r="36" spans="1:4" s="8" customFormat="1" ht="15.75" customHeight="1">
      <c r="A36" s="36" t="s">
        <v>106</v>
      </c>
      <c r="B36" s="43" t="s">
        <v>207</v>
      </c>
      <c r="C36" s="44">
        <v>124</v>
      </c>
      <c r="D36" s="44">
        <v>133</v>
      </c>
    </row>
    <row r="37" spans="1:4" s="8" customFormat="1" ht="15.75" customHeight="1">
      <c r="A37" s="36" t="s">
        <v>107</v>
      </c>
      <c r="B37" s="43" t="s">
        <v>208</v>
      </c>
      <c r="C37" s="44">
        <v>1934</v>
      </c>
      <c r="D37" s="44">
        <v>1876</v>
      </c>
    </row>
    <row r="38" spans="1:4" s="8" customFormat="1" ht="15.75" customHeight="1">
      <c r="A38" s="36" t="s">
        <v>108</v>
      </c>
      <c r="B38" s="46" t="s">
        <v>234</v>
      </c>
      <c r="C38" s="44">
        <v>1</v>
      </c>
      <c r="D38" s="44">
        <v>2</v>
      </c>
    </row>
    <row r="39" spans="1:4" s="8" customFormat="1" ht="15.75" customHeight="1">
      <c r="A39" s="36" t="s">
        <v>109</v>
      </c>
      <c r="B39" s="39" t="s">
        <v>91</v>
      </c>
      <c r="C39" s="44">
        <f>C27-C31-C35</f>
        <v>1227</v>
      </c>
      <c r="D39" s="44">
        <f>D27-D31-D35</f>
        <v>1170</v>
      </c>
    </row>
    <row r="40" spans="1:4" s="8" customFormat="1" ht="15.75" customHeight="1">
      <c r="A40" s="36" t="s">
        <v>110</v>
      </c>
      <c r="B40" s="43" t="s">
        <v>207</v>
      </c>
      <c r="C40" s="44">
        <v>27</v>
      </c>
      <c r="D40" s="44">
        <v>25</v>
      </c>
    </row>
    <row r="41" spans="1:4" s="8" customFormat="1" ht="15.75" customHeight="1">
      <c r="A41" s="36" t="s">
        <v>111</v>
      </c>
      <c r="B41" s="43" t="s">
        <v>208</v>
      </c>
      <c r="C41" s="44">
        <v>1200</v>
      </c>
      <c r="D41" s="44">
        <v>1145</v>
      </c>
    </row>
    <row r="42" spans="1:4" s="8" customFormat="1" ht="15.75" customHeight="1">
      <c r="A42" s="36" t="s">
        <v>112</v>
      </c>
      <c r="B42" s="46" t="s">
        <v>234</v>
      </c>
      <c r="C42" s="44">
        <v>15</v>
      </c>
      <c r="D42" s="44">
        <v>17</v>
      </c>
    </row>
    <row r="43" spans="1:4" s="8" customFormat="1" ht="15.75" customHeight="1">
      <c r="A43" s="36"/>
      <c r="B43" s="37" t="s">
        <v>628</v>
      </c>
      <c r="C43" s="45">
        <f>+C27/C23</f>
        <v>0.37533593631154605</v>
      </c>
      <c r="D43" s="45">
        <f>+D27/D23</f>
        <v>0.371452119713594</v>
      </c>
    </row>
    <row r="44" spans="1:4" s="8" customFormat="1" ht="15.75" customHeight="1">
      <c r="A44" s="36"/>
      <c r="B44" s="37" t="s">
        <v>629</v>
      </c>
      <c r="C44" s="45">
        <f>+C31/C23</f>
        <v>0.20876223315247705</v>
      </c>
      <c r="D44" s="45">
        <f>+D31/D23</f>
        <v>0.2076958738989337</v>
      </c>
    </row>
    <row r="45" spans="1:4" s="8" customFormat="1" ht="15.75" customHeight="1">
      <c r="A45" s="36"/>
      <c r="B45" s="37" t="s">
        <v>630</v>
      </c>
      <c r="C45" s="45">
        <f>+C31/C27</f>
        <v>0.5562010267495272</v>
      </c>
      <c r="D45" s="45">
        <f>+D31/D27</f>
        <v>0.5591457495492996</v>
      </c>
    </row>
    <row r="46" spans="1:4" s="8" customFormat="1" ht="15.75" customHeight="1">
      <c r="A46" s="36"/>
      <c r="B46" s="37"/>
      <c r="C46" s="45"/>
      <c r="D46" s="45"/>
    </row>
    <row r="47" spans="1:4" ht="15.75" customHeight="1">
      <c r="A47" s="32" t="s">
        <v>113</v>
      </c>
      <c r="B47" s="33" t="s">
        <v>24</v>
      </c>
      <c r="C47" s="34">
        <f>+C49+C48</f>
        <v>19026</v>
      </c>
      <c r="D47" s="34">
        <f>+D49+D48</f>
        <v>18965</v>
      </c>
    </row>
    <row r="48" spans="1:4" ht="15.75" customHeight="1">
      <c r="A48" s="32" t="s">
        <v>114</v>
      </c>
      <c r="B48" s="33" t="s">
        <v>74</v>
      </c>
      <c r="C48" s="34">
        <v>13166</v>
      </c>
      <c r="D48" s="34">
        <v>13119</v>
      </c>
    </row>
    <row r="49" spans="1:4" ht="15.75" customHeight="1">
      <c r="A49" s="32" t="s">
        <v>115</v>
      </c>
      <c r="B49" s="33" t="s">
        <v>76</v>
      </c>
      <c r="C49" s="34">
        <v>5860</v>
      </c>
      <c r="D49" s="34">
        <v>5846</v>
      </c>
    </row>
    <row r="50" spans="1:4" ht="15.75" customHeight="1">
      <c r="A50" s="36" t="s">
        <v>116</v>
      </c>
      <c r="B50" s="39" t="s">
        <v>87</v>
      </c>
      <c r="C50" s="44">
        <v>2897</v>
      </c>
      <c r="D50" s="44">
        <v>2897</v>
      </c>
    </row>
    <row r="51" spans="1:4" ht="15.75" customHeight="1">
      <c r="A51" s="36" t="s">
        <v>117</v>
      </c>
      <c r="B51" s="39" t="s">
        <v>89</v>
      </c>
      <c r="C51" s="44">
        <v>1674</v>
      </c>
      <c r="D51" s="44">
        <v>1660</v>
      </c>
    </row>
    <row r="52" spans="1:4" ht="15.75" customHeight="1">
      <c r="A52" s="36" t="s">
        <v>36</v>
      </c>
      <c r="B52" s="39" t="s">
        <v>91</v>
      </c>
      <c r="C52" s="44">
        <v>1289</v>
      </c>
      <c r="D52" s="44">
        <v>1289</v>
      </c>
    </row>
    <row r="53" spans="1:4" s="8" customFormat="1" ht="15.75" customHeight="1">
      <c r="A53" s="36"/>
      <c r="B53" s="37" t="s">
        <v>631</v>
      </c>
      <c r="C53" s="45">
        <f>+C49/C47</f>
        <v>0.3079995795227583</v>
      </c>
      <c r="D53" s="45">
        <f>+D49/D47</f>
        <v>0.30825204323754285</v>
      </c>
    </row>
    <row r="54" spans="1:4" s="8" customFormat="1" ht="15.75" customHeight="1">
      <c r="A54" s="36"/>
      <c r="B54" s="37" t="s">
        <v>632</v>
      </c>
      <c r="C54" s="45">
        <f>+C50/C47</f>
        <v>0.15226532113949331</v>
      </c>
      <c r="D54" s="45">
        <f>+D50/D47</f>
        <v>0.15275507513841285</v>
      </c>
    </row>
    <row r="55" spans="1:4" s="8" customFormat="1" ht="15.75" customHeight="1">
      <c r="A55" s="36"/>
      <c r="B55" s="37" t="s">
        <v>633</v>
      </c>
      <c r="C55" s="47">
        <f>C50/C49</f>
        <v>0.49436860068259386</v>
      </c>
      <c r="D55" s="47">
        <f>D50/D49</f>
        <v>0.4955525145398563</v>
      </c>
    </row>
    <row r="56" spans="1:4" s="8" customFormat="1" ht="15.75" customHeight="1">
      <c r="A56" s="36"/>
      <c r="B56" s="41"/>
      <c r="C56" s="42"/>
      <c r="D56" s="42"/>
    </row>
    <row r="57" spans="1:4" ht="15.75" customHeight="1">
      <c r="A57" s="32" t="s">
        <v>37</v>
      </c>
      <c r="B57" s="33" t="s">
        <v>209</v>
      </c>
      <c r="C57" s="48">
        <f>+C58+C62</f>
        <v>415</v>
      </c>
      <c r="D57" s="48">
        <f>+D58+D62</f>
        <v>406</v>
      </c>
    </row>
    <row r="58" spans="1:4" ht="15.75" customHeight="1">
      <c r="A58" s="36" t="s">
        <v>38</v>
      </c>
      <c r="B58" s="41" t="s">
        <v>44</v>
      </c>
      <c r="C58" s="42">
        <f>SUM(C59:C61)</f>
        <v>379</v>
      </c>
      <c r="D58" s="42">
        <f>SUM(D59:D61)</f>
        <v>346</v>
      </c>
    </row>
    <row r="59" spans="1:4" ht="15.75" customHeight="1">
      <c r="A59" s="36" t="s">
        <v>39</v>
      </c>
      <c r="B59" s="39" t="s">
        <v>87</v>
      </c>
      <c r="C59" s="42">
        <v>229</v>
      </c>
      <c r="D59" s="25">
        <v>203</v>
      </c>
    </row>
    <row r="60" spans="1:4" ht="15.75" customHeight="1">
      <c r="A60" s="36" t="s">
        <v>40</v>
      </c>
      <c r="B60" s="39" t="s">
        <v>89</v>
      </c>
      <c r="C60" s="42">
        <v>18</v>
      </c>
      <c r="D60" s="25">
        <v>20</v>
      </c>
    </row>
    <row r="61" spans="1:4" ht="15.75" customHeight="1">
      <c r="A61" s="36" t="s">
        <v>41</v>
      </c>
      <c r="B61" s="39" t="s">
        <v>91</v>
      </c>
      <c r="C61" s="25">
        <v>132</v>
      </c>
      <c r="D61" s="25">
        <v>123</v>
      </c>
    </row>
    <row r="62" spans="1:4" ht="15.75" customHeight="1">
      <c r="A62" s="49" t="s">
        <v>42</v>
      </c>
      <c r="B62" s="50" t="s">
        <v>273</v>
      </c>
      <c r="C62" s="42">
        <f>SUM(C63:C65)</f>
        <v>36</v>
      </c>
      <c r="D62" s="42">
        <f>SUM(D63:D65)</f>
        <v>60</v>
      </c>
    </row>
    <row r="63" spans="1:4" ht="15.75" customHeight="1">
      <c r="A63" s="36" t="s">
        <v>43</v>
      </c>
      <c r="B63" s="39" t="s">
        <v>87</v>
      </c>
      <c r="C63" s="51">
        <v>0</v>
      </c>
      <c r="D63" s="51">
        <v>0</v>
      </c>
    </row>
    <row r="64" spans="1:4" ht="15.75" customHeight="1">
      <c r="A64" s="36" t="s">
        <v>45</v>
      </c>
      <c r="B64" s="39" t="s">
        <v>89</v>
      </c>
      <c r="C64" s="51">
        <v>0</v>
      </c>
      <c r="D64" s="51">
        <v>0</v>
      </c>
    </row>
    <row r="65" spans="1:4" ht="15.75" customHeight="1">
      <c r="A65" s="36" t="s">
        <v>46</v>
      </c>
      <c r="B65" s="39" t="s">
        <v>91</v>
      </c>
      <c r="C65" s="25">
        <v>36</v>
      </c>
      <c r="D65" s="25">
        <v>60</v>
      </c>
    </row>
    <row r="66" spans="1:4" ht="15.75" customHeight="1">
      <c r="A66" s="36"/>
      <c r="B66" s="41"/>
      <c r="C66" s="42"/>
      <c r="D66" s="42"/>
    </row>
    <row r="67" spans="1:4" ht="15.75" customHeight="1">
      <c r="A67" s="32" t="s">
        <v>47</v>
      </c>
      <c r="B67" s="33" t="s">
        <v>210</v>
      </c>
      <c r="C67" s="52">
        <f>C68+C72</f>
        <v>228</v>
      </c>
      <c r="D67" s="52">
        <f>D68+D72</f>
        <v>188</v>
      </c>
    </row>
    <row r="68" spans="1:4" ht="15.75" customHeight="1">
      <c r="A68" s="36" t="s">
        <v>48</v>
      </c>
      <c r="B68" s="41" t="s">
        <v>44</v>
      </c>
      <c r="C68" s="44">
        <f>SUM(C69:C71)</f>
        <v>225</v>
      </c>
      <c r="D68" s="44">
        <f>SUM(D69:D71)</f>
        <v>183</v>
      </c>
    </row>
    <row r="69" spans="1:4" ht="15.75" customHeight="1">
      <c r="A69" s="36" t="s">
        <v>49</v>
      </c>
      <c r="B69" s="39" t="s">
        <v>87</v>
      </c>
      <c r="C69" s="44">
        <v>141</v>
      </c>
      <c r="D69" s="44">
        <v>103</v>
      </c>
    </row>
    <row r="70" spans="1:4" ht="15.75" customHeight="1">
      <c r="A70" s="36" t="s">
        <v>50</v>
      </c>
      <c r="B70" s="39" t="s">
        <v>89</v>
      </c>
      <c r="C70" s="44">
        <v>7</v>
      </c>
      <c r="D70" s="44">
        <v>9</v>
      </c>
    </row>
    <row r="71" spans="1:4" ht="15.75" customHeight="1">
      <c r="A71" s="36" t="s">
        <v>51</v>
      </c>
      <c r="B71" s="39" t="s">
        <v>91</v>
      </c>
      <c r="C71" s="44">
        <v>77</v>
      </c>
      <c r="D71" s="44">
        <v>71</v>
      </c>
    </row>
    <row r="72" spans="1:4" ht="15.75" customHeight="1">
      <c r="A72" s="36" t="s">
        <v>52</v>
      </c>
      <c r="B72" s="50" t="s">
        <v>274</v>
      </c>
      <c r="C72" s="44">
        <f>SUM(C73:C75)</f>
        <v>3</v>
      </c>
      <c r="D72" s="44">
        <f>SUM(D73:D75)</f>
        <v>5</v>
      </c>
    </row>
    <row r="73" spans="1:4" ht="15.75" customHeight="1">
      <c r="A73" s="36" t="s">
        <v>53</v>
      </c>
      <c r="B73" s="39" t="s">
        <v>87</v>
      </c>
      <c r="C73" s="51">
        <v>0</v>
      </c>
      <c r="D73" s="51">
        <v>0</v>
      </c>
    </row>
    <row r="74" spans="1:4" ht="15.75" customHeight="1">
      <c r="A74" s="36" t="s">
        <v>54</v>
      </c>
      <c r="B74" s="39" t="s">
        <v>89</v>
      </c>
      <c r="C74" s="51">
        <v>0</v>
      </c>
      <c r="D74" s="51">
        <v>0</v>
      </c>
    </row>
    <row r="75" spans="1:4" ht="15.75" customHeight="1" thickBot="1">
      <c r="A75" s="90" t="s">
        <v>259</v>
      </c>
      <c r="B75" s="91" t="s">
        <v>91</v>
      </c>
      <c r="C75" s="92">
        <v>3</v>
      </c>
      <c r="D75" s="92">
        <v>5</v>
      </c>
    </row>
    <row r="76" spans="1:13" ht="12.75">
      <c r="A76" s="391" t="s">
        <v>635</v>
      </c>
      <c r="B76" s="391"/>
      <c r="C76" s="391"/>
      <c r="D76" s="391"/>
      <c r="E76" s="181"/>
      <c r="F76" s="181"/>
      <c r="G76" s="181"/>
      <c r="H76" s="181"/>
      <c r="I76" s="181"/>
      <c r="J76" s="181"/>
      <c r="K76" s="181"/>
      <c r="L76" s="181"/>
      <c r="M76" s="181"/>
    </row>
  </sheetData>
  <sheetProtection/>
  <mergeCells count="2">
    <mergeCell ref="A2:D2"/>
    <mergeCell ref="A76:D7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zoomScale="85" zoomScaleNormal="85" zoomScalePageLayoutView="0" workbookViewId="0" topLeftCell="A1">
      <selection activeCell="E39" sqref="E39"/>
    </sheetView>
  </sheetViews>
  <sheetFormatPr defaultColWidth="11.421875" defaultRowHeight="12.75"/>
  <cols>
    <col min="1" max="1" width="20.57421875" style="74" customWidth="1"/>
    <col min="2" max="2" width="6.140625" style="74" customWidth="1"/>
    <col min="3" max="3" width="7.7109375" style="74" bestFit="1" customWidth="1"/>
    <col min="4" max="4" width="9.28125" style="74" bestFit="1" customWidth="1"/>
    <col min="5" max="5" width="26.421875" style="74" bestFit="1" customWidth="1"/>
    <col min="6" max="6" width="14.421875" style="74" bestFit="1" customWidth="1"/>
    <col min="7" max="7" width="9.57421875" style="74" bestFit="1" customWidth="1"/>
    <col min="8" max="8" width="9.421875" style="74" bestFit="1" customWidth="1"/>
    <col min="9" max="16384" width="11.421875" style="74" customWidth="1"/>
  </cols>
  <sheetData>
    <row r="1" spans="1:10" ht="18" customHeight="1">
      <c r="A1" s="412" t="s">
        <v>361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5.75" customHeight="1">
      <c r="A2" s="413" t="s">
        <v>357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ht="15.75" customHeight="1">
      <c r="A3" s="413" t="s">
        <v>528</v>
      </c>
      <c r="B3" s="413"/>
      <c r="C3" s="413"/>
      <c r="D3" s="413"/>
      <c r="E3" s="413"/>
      <c r="F3" s="413"/>
      <c r="G3" s="413"/>
      <c r="H3" s="413"/>
      <c r="I3" s="171"/>
      <c r="J3" s="171"/>
    </row>
    <row r="4" spans="1:10" ht="15.75" customHeight="1" thickBot="1">
      <c r="A4" s="414" t="s">
        <v>490</v>
      </c>
      <c r="B4" s="414"/>
      <c r="C4" s="414"/>
      <c r="D4" s="414"/>
      <c r="E4" s="414"/>
      <c r="F4" s="183"/>
      <c r="G4" s="183"/>
      <c r="H4" s="183"/>
      <c r="I4" s="175"/>
      <c r="J4" s="175"/>
    </row>
    <row r="5" spans="1:8" ht="15.75" customHeight="1">
      <c r="A5" s="80"/>
      <c r="B5" s="341" t="s">
        <v>134</v>
      </c>
      <c r="C5" s="341" t="s">
        <v>122</v>
      </c>
      <c r="D5" s="341"/>
      <c r="E5" s="341"/>
      <c r="F5" s="259"/>
      <c r="G5" s="259"/>
      <c r="H5" s="259"/>
    </row>
    <row r="6" spans="1:5" ht="15.75">
      <c r="A6" s="80"/>
      <c r="B6" s="342"/>
      <c r="C6" s="343" t="s">
        <v>123</v>
      </c>
      <c r="D6" s="343" t="s">
        <v>130</v>
      </c>
      <c r="E6" s="349" t="s">
        <v>644</v>
      </c>
    </row>
    <row r="7" spans="1:5" ht="15.75" customHeight="1">
      <c r="A7" s="79" t="s">
        <v>134</v>
      </c>
      <c r="B7" s="261">
        <v>21</v>
      </c>
      <c r="C7" s="98">
        <v>12</v>
      </c>
      <c r="D7" s="98">
        <v>7</v>
      </c>
      <c r="E7" s="98">
        <v>2</v>
      </c>
    </row>
    <row r="8" spans="1:5" ht="15.75" customHeight="1">
      <c r="A8" s="93" t="s">
        <v>276</v>
      </c>
      <c r="B8" s="262">
        <v>5</v>
      </c>
      <c r="C8" s="68">
        <v>0</v>
      </c>
      <c r="D8" s="68">
        <v>5</v>
      </c>
      <c r="E8" s="68">
        <v>0</v>
      </c>
    </row>
    <row r="9" spans="1:5" ht="15.75" customHeight="1">
      <c r="A9" s="67" t="s">
        <v>192</v>
      </c>
      <c r="B9" s="262">
        <v>5</v>
      </c>
      <c r="C9" s="68">
        <v>0</v>
      </c>
      <c r="D9" s="68">
        <v>5</v>
      </c>
      <c r="E9" s="68">
        <v>0</v>
      </c>
    </row>
    <row r="10" spans="1:5" ht="15.75" customHeight="1">
      <c r="A10" s="67" t="s">
        <v>22</v>
      </c>
      <c r="B10" s="262">
        <v>1</v>
      </c>
      <c r="C10" s="68">
        <v>0</v>
      </c>
      <c r="D10" s="68">
        <v>1</v>
      </c>
      <c r="E10" s="68">
        <v>0</v>
      </c>
    </row>
    <row r="11" spans="1:5" ht="15.75" customHeight="1">
      <c r="A11" s="67" t="s">
        <v>21</v>
      </c>
      <c r="B11" s="262">
        <v>4</v>
      </c>
      <c r="C11" s="68">
        <v>0</v>
      </c>
      <c r="D11" s="68">
        <v>4</v>
      </c>
      <c r="E11" s="68">
        <v>0</v>
      </c>
    </row>
    <row r="12" spans="1:5" ht="15.75" customHeight="1">
      <c r="A12" s="93" t="s">
        <v>277</v>
      </c>
      <c r="B12" s="261">
        <v>5</v>
      </c>
      <c r="C12" s="98">
        <v>3</v>
      </c>
      <c r="D12" s="98">
        <v>2</v>
      </c>
      <c r="E12" s="68">
        <v>0</v>
      </c>
    </row>
    <row r="13" spans="1:5" ht="15.75" customHeight="1">
      <c r="A13" s="67" t="s">
        <v>251</v>
      </c>
      <c r="B13" s="262">
        <v>1</v>
      </c>
      <c r="C13" s="68">
        <v>1</v>
      </c>
      <c r="D13" s="68">
        <v>0</v>
      </c>
      <c r="E13" s="68">
        <v>0</v>
      </c>
    </row>
    <row r="14" spans="1:5" ht="15.75" customHeight="1">
      <c r="A14" s="67" t="s">
        <v>22</v>
      </c>
      <c r="B14" s="262">
        <v>1</v>
      </c>
      <c r="C14" s="68">
        <v>1</v>
      </c>
      <c r="D14" s="68">
        <v>0</v>
      </c>
      <c r="E14" s="68">
        <v>0</v>
      </c>
    </row>
    <row r="15" spans="1:5" ht="15.75" customHeight="1">
      <c r="A15" s="67" t="s">
        <v>1</v>
      </c>
      <c r="B15" s="262">
        <v>4</v>
      </c>
      <c r="C15" s="68">
        <v>2</v>
      </c>
      <c r="D15" s="68">
        <v>2</v>
      </c>
      <c r="E15" s="68">
        <v>0</v>
      </c>
    </row>
    <row r="16" spans="1:5" ht="15.75" customHeight="1">
      <c r="A16" s="67" t="s">
        <v>22</v>
      </c>
      <c r="B16" s="262">
        <v>3</v>
      </c>
      <c r="C16" s="68">
        <v>1</v>
      </c>
      <c r="D16" s="68">
        <v>2</v>
      </c>
      <c r="E16" s="68">
        <v>0</v>
      </c>
    </row>
    <row r="17" spans="1:5" ht="15.75" customHeight="1">
      <c r="A17" s="67" t="s">
        <v>21</v>
      </c>
      <c r="B17" s="262">
        <v>1</v>
      </c>
      <c r="C17" s="68">
        <v>1</v>
      </c>
      <c r="D17" s="68">
        <v>0</v>
      </c>
      <c r="E17" s="68">
        <v>0</v>
      </c>
    </row>
    <row r="18" spans="1:5" ht="15.75" customHeight="1">
      <c r="A18" s="93" t="s">
        <v>279</v>
      </c>
      <c r="B18" s="261">
        <v>11</v>
      </c>
      <c r="C18" s="98">
        <v>9</v>
      </c>
      <c r="D18" s="98">
        <v>0</v>
      </c>
      <c r="E18" s="68">
        <v>2</v>
      </c>
    </row>
    <row r="19" spans="1:5" ht="15.75" customHeight="1">
      <c r="A19" s="67" t="s">
        <v>31</v>
      </c>
      <c r="B19" s="262">
        <v>5</v>
      </c>
      <c r="C19" s="68">
        <v>4</v>
      </c>
      <c r="D19" s="68">
        <v>0</v>
      </c>
      <c r="E19" s="68">
        <v>1</v>
      </c>
    </row>
    <row r="20" spans="1:5" ht="15.75" customHeight="1">
      <c r="A20" s="67" t="s">
        <v>22</v>
      </c>
      <c r="B20" s="262">
        <v>1</v>
      </c>
      <c r="C20" s="68">
        <v>1</v>
      </c>
      <c r="D20" s="68">
        <v>0</v>
      </c>
      <c r="E20" s="68">
        <v>0</v>
      </c>
    </row>
    <row r="21" spans="1:5" ht="15.75" customHeight="1">
      <c r="A21" s="67" t="s">
        <v>21</v>
      </c>
      <c r="B21" s="262">
        <v>4</v>
      </c>
      <c r="C21" s="68">
        <v>3</v>
      </c>
      <c r="D21" s="68">
        <v>0</v>
      </c>
      <c r="E21" s="68">
        <v>1</v>
      </c>
    </row>
    <row r="22" spans="1:5" ht="15.75" customHeight="1">
      <c r="A22" s="67" t="s">
        <v>281</v>
      </c>
      <c r="B22" s="262">
        <v>6</v>
      </c>
      <c r="C22" s="68">
        <v>5</v>
      </c>
      <c r="D22" s="68">
        <v>0</v>
      </c>
      <c r="E22" s="68">
        <v>1</v>
      </c>
    </row>
    <row r="23" spans="1:5" ht="15.75" customHeight="1">
      <c r="A23" s="67" t="s">
        <v>22</v>
      </c>
      <c r="B23" s="262">
        <v>1</v>
      </c>
      <c r="C23" s="68">
        <v>1</v>
      </c>
      <c r="D23" s="68">
        <v>0</v>
      </c>
      <c r="E23" s="68">
        <v>0</v>
      </c>
    </row>
    <row r="24" spans="1:5" ht="15.75" customHeight="1" thickBot="1">
      <c r="A24" s="84" t="s">
        <v>21</v>
      </c>
      <c r="B24" s="263">
        <v>5</v>
      </c>
      <c r="C24" s="83">
        <v>4</v>
      </c>
      <c r="D24" s="83">
        <v>0</v>
      </c>
      <c r="E24" s="83">
        <v>1</v>
      </c>
    </row>
    <row r="25" spans="1:8" ht="15">
      <c r="A25" s="391" t="s">
        <v>635</v>
      </c>
      <c r="B25" s="391"/>
      <c r="C25" s="391"/>
      <c r="D25" s="391"/>
      <c r="E25" s="391"/>
      <c r="F25" s="77"/>
      <c r="G25" s="77"/>
      <c r="H25" s="77"/>
    </row>
    <row r="27" ht="14.25">
      <c r="A27" s="74" t="s">
        <v>202</v>
      </c>
    </row>
    <row r="28" ht="14.25">
      <c r="A28" s="74" t="s">
        <v>643</v>
      </c>
    </row>
  </sheetData>
  <sheetProtection/>
  <mergeCells count="5">
    <mergeCell ref="A1:J1"/>
    <mergeCell ref="A2:J2"/>
    <mergeCell ref="A3:H3"/>
    <mergeCell ref="A4:E4"/>
    <mergeCell ref="A25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1"/>
  <sheetViews>
    <sheetView zoomScale="85" zoomScaleNormal="85" zoomScalePageLayoutView="0" workbookViewId="0" topLeftCell="A1">
      <selection activeCell="Q40" sqref="Q40"/>
    </sheetView>
  </sheetViews>
  <sheetFormatPr defaultColWidth="11.421875" defaultRowHeight="12.75"/>
  <cols>
    <col min="1" max="1" width="54.7109375" style="77" customWidth="1"/>
    <col min="2" max="2" width="10.7109375" style="77" customWidth="1"/>
    <col min="3" max="3" width="7.7109375" style="77" bestFit="1" customWidth="1"/>
    <col min="4" max="4" width="9.28125" style="77" bestFit="1" customWidth="1"/>
    <col min="5" max="5" width="8.8515625" style="77" bestFit="1" customWidth="1"/>
    <col min="6" max="6" width="14.140625" style="77" bestFit="1" customWidth="1"/>
    <col min="7" max="7" width="9.28125" style="77" bestFit="1" customWidth="1"/>
    <col min="8" max="8" width="9.7109375" style="77" bestFit="1" customWidth="1"/>
    <col min="9" max="9" width="9.00390625" style="77" bestFit="1" customWidth="1"/>
    <col min="10" max="10" width="9.28125" style="77" bestFit="1" customWidth="1"/>
    <col min="11" max="11" width="10.28125" style="77" bestFit="1" customWidth="1"/>
    <col min="12" max="12" width="9.28125" style="77" bestFit="1" customWidth="1"/>
    <col min="13" max="13" width="15.140625" style="77" bestFit="1" customWidth="1"/>
    <col min="14" max="16384" width="11.421875" style="77" customWidth="1"/>
  </cols>
  <sheetData>
    <row r="1" spans="1:13" ht="17.25" customHeight="1">
      <c r="A1" s="412" t="s">
        <v>362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6.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5.75" customHeight="1" thickBot="1">
      <c r="A3" s="414" t="s">
        <v>440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80"/>
      <c r="B4" s="34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80"/>
      <c r="B5" s="342"/>
      <c r="C5" s="343" t="s">
        <v>123</v>
      </c>
      <c r="D5" s="343" t="s">
        <v>124</v>
      </c>
      <c r="E5" s="343" t="s">
        <v>125</v>
      </c>
      <c r="F5" s="343" t="s">
        <v>126</v>
      </c>
      <c r="G5" s="343" t="s">
        <v>127</v>
      </c>
      <c r="H5" s="343" t="s">
        <v>128</v>
      </c>
      <c r="I5" s="343" t="s">
        <v>129</v>
      </c>
      <c r="J5" s="343" t="s">
        <v>130</v>
      </c>
      <c r="K5" s="343" t="s">
        <v>131</v>
      </c>
      <c r="L5" s="343" t="s">
        <v>132</v>
      </c>
      <c r="M5" s="343" t="s">
        <v>133</v>
      </c>
    </row>
    <row r="6" spans="1:13" ht="15.75" customHeight="1">
      <c r="A6" s="78" t="s">
        <v>134</v>
      </c>
      <c r="B6" s="273">
        <v>38747</v>
      </c>
      <c r="C6" s="176">
        <v>5696</v>
      </c>
      <c r="D6" s="176">
        <v>5277</v>
      </c>
      <c r="E6" s="176">
        <v>4642</v>
      </c>
      <c r="F6" s="176">
        <v>2638</v>
      </c>
      <c r="G6" s="176">
        <v>6038</v>
      </c>
      <c r="H6" s="176">
        <v>473</v>
      </c>
      <c r="I6" s="176">
        <v>4465</v>
      </c>
      <c r="J6" s="176">
        <v>4399</v>
      </c>
      <c r="K6" s="176">
        <v>1690</v>
      </c>
      <c r="L6" s="176">
        <v>2322</v>
      </c>
      <c r="M6" s="176">
        <v>1107</v>
      </c>
    </row>
    <row r="7" spans="1:13" ht="15.75" customHeight="1">
      <c r="A7" s="78" t="s">
        <v>363</v>
      </c>
      <c r="B7" s="273">
        <v>19721</v>
      </c>
      <c r="C7" s="176">
        <v>2801</v>
      </c>
      <c r="D7" s="176">
        <v>2794</v>
      </c>
      <c r="E7" s="176">
        <v>2303</v>
      </c>
      <c r="F7" s="176">
        <v>1413</v>
      </c>
      <c r="G7" s="176">
        <v>3019</v>
      </c>
      <c r="H7" s="176">
        <v>225</v>
      </c>
      <c r="I7" s="176">
        <v>2264</v>
      </c>
      <c r="J7" s="176">
        <v>2281</v>
      </c>
      <c r="K7" s="176">
        <v>903</v>
      </c>
      <c r="L7" s="176">
        <v>1168</v>
      </c>
      <c r="M7" s="176">
        <v>550</v>
      </c>
    </row>
    <row r="8" spans="1:13" ht="15.75" customHeight="1">
      <c r="A8" s="75" t="s">
        <v>364</v>
      </c>
      <c r="B8" s="274">
        <v>188</v>
      </c>
      <c r="C8" s="177">
        <v>17</v>
      </c>
      <c r="D8" s="177">
        <v>17</v>
      </c>
      <c r="E8" s="177">
        <v>30</v>
      </c>
      <c r="F8" s="177">
        <v>15</v>
      </c>
      <c r="G8" s="177">
        <v>18</v>
      </c>
      <c r="H8" s="177">
        <v>3</v>
      </c>
      <c r="I8" s="177">
        <v>26</v>
      </c>
      <c r="J8" s="177">
        <v>18</v>
      </c>
      <c r="K8" s="177">
        <v>15</v>
      </c>
      <c r="L8" s="177">
        <v>18</v>
      </c>
      <c r="M8" s="177">
        <v>11</v>
      </c>
    </row>
    <row r="9" spans="1:13" ht="15.75" customHeight="1">
      <c r="A9" s="75" t="s">
        <v>365</v>
      </c>
      <c r="B9" s="274">
        <v>188</v>
      </c>
      <c r="C9" s="177">
        <v>17</v>
      </c>
      <c r="D9" s="177">
        <v>17</v>
      </c>
      <c r="E9" s="177">
        <v>30</v>
      </c>
      <c r="F9" s="177">
        <v>15</v>
      </c>
      <c r="G9" s="177">
        <v>18</v>
      </c>
      <c r="H9" s="177">
        <v>3</v>
      </c>
      <c r="I9" s="177">
        <v>26</v>
      </c>
      <c r="J9" s="177">
        <v>18</v>
      </c>
      <c r="K9" s="177">
        <v>15</v>
      </c>
      <c r="L9" s="177">
        <v>18</v>
      </c>
      <c r="M9" s="177">
        <v>11</v>
      </c>
    </row>
    <row r="10" spans="1:13" ht="15.75" customHeight="1">
      <c r="A10" s="75" t="s">
        <v>366</v>
      </c>
      <c r="B10" s="274">
        <v>5592</v>
      </c>
      <c r="C10" s="177">
        <v>642</v>
      </c>
      <c r="D10" s="177">
        <v>764</v>
      </c>
      <c r="E10" s="177">
        <v>676</v>
      </c>
      <c r="F10" s="177">
        <v>367</v>
      </c>
      <c r="G10" s="177">
        <v>894</v>
      </c>
      <c r="H10" s="177">
        <v>65</v>
      </c>
      <c r="I10" s="177">
        <v>693</v>
      </c>
      <c r="J10" s="177">
        <v>750</v>
      </c>
      <c r="K10" s="177">
        <v>280</v>
      </c>
      <c r="L10" s="177">
        <v>301</v>
      </c>
      <c r="M10" s="177">
        <v>160</v>
      </c>
    </row>
    <row r="11" spans="1:13" ht="15.75" customHeight="1">
      <c r="A11" s="75" t="s">
        <v>367</v>
      </c>
      <c r="B11" s="274">
        <v>24</v>
      </c>
      <c r="C11" s="177">
        <v>1</v>
      </c>
      <c r="D11" s="177">
        <v>4</v>
      </c>
      <c r="E11" s="177">
        <v>9</v>
      </c>
      <c r="F11" s="177">
        <v>2</v>
      </c>
      <c r="G11" s="177">
        <v>0</v>
      </c>
      <c r="H11" s="177">
        <v>0</v>
      </c>
      <c r="I11" s="177">
        <v>1</v>
      </c>
      <c r="J11" s="177">
        <v>2</v>
      </c>
      <c r="K11" s="177">
        <v>0</v>
      </c>
      <c r="L11" s="177">
        <v>4</v>
      </c>
      <c r="M11" s="177">
        <v>1</v>
      </c>
    </row>
    <row r="12" spans="1:13" ht="15.75" customHeight="1">
      <c r="A12" s="75" t="s">
        <v>368</v>
      </c>
      <c r="B12" s="274">
        <v>497</v>
      </c>
      <c r="C12" s="177">
        <v>64</v>
      </c>
      <c r="D12" s="177">
        <v>67</v>
      </c>
      <c r="E12" s="177">
        <v>32</v>
      </c>
      <c r="F12" s="177">
        <v>15</v>
      </c>
      <c r="G12" s="177">
        <v>122</v>
      </c>
      <c r="H12" s="177">
        <v>2</v>
      </c>
      <c r="I12" s="177">
        <v>78</v>
      </c>
      <c r="J12" s="177">
        <v>64</v>
      </c>
      <c r="K12" s="177">
        <v>21</v>
      </c>
      <c r="L12" s="177">
        <v>18</v>
      </c>
      <c r="M12" s="177">
        <v>14</v>
      </c>
    </row>
    <row r="13" spans="1:13" ht="15.75" customHeight="1">
      <c r="A13" s="75" t="s">
        <v>369</v>
      </c>
      <c r="B13" s="274">
        <v>66</v>
      </c>
      <c r="C13" s="177">
        <v>7</v>
      </c>
      <c r="D13" s="177">
        <v>12</v>
      </c>
      <c r="E13" s="177">
        <v>2</v>
      </c>
      <c r="F13" s="177">
        <v>6</v>
      </c>
      <c r="G13" s="177">
        <v>15</v>
      </c>
      <c r="H13" s="177">
        <v>1</v>
      </c>
      <c r="I13" s="177">
        <v>7</v>
      </c>
      <c r="J13" s="177">
        <v>8</v>
      </c>
      <c r="K13" s="177">
        <v>4</v>
      </c>
      <c r="L13" s="177">
        <v>4</v>
      </c>
      <c r="M13" s="177">
        <v>0</v>
      </c>
    </row>
    <row r="14" spans="1:13" ht="15.75" customHeight="1">
      <c r="A14" s="75" t="s">
        <v>370</v>
      </c>
      <c r="B14" s="274">
        <v>284</v>
      </c>
      <c r="C14" s="177">
        <v>44</v>
      </c>
      <c r="D14" s="177">
        <v>32</v>
      </c>
      <c r="E14" s="177">
        <v>37</v>
      </c>
      <c r="F14" s="177">
        <v>25</v>
      </c>
      <c r="G14" s="177">
        <v>47</v>
      </c>
      <c r="H14" s="177">
        <v>3</v>
      </c>
      <c r="I14" s="177">
        <v>29</v>
      </c>
      <c r="J14" s="177">
        <v>26</v>
      </c>
      <c r="K14" s="177">
        <v>16</v>
      </c>
      <c r="L14" s="177">
        <v>18</v>
      </c>
      <c r="M14" s="177">
        <v>7</v>
      </c>
    </row>
    <row r="15" spans="1:13" ht="15.75" customHeight="1">
      <c r="A15" s="75" t="s">
        <v>371</v>
      </c>
      <c r="B15" s="274">
        <v>51</v>
      </c>
      <c r="C15" s="177">
        <v>5</v>
      </c>
      <c r="D15" s="177">
        <v>4</v>
      </c>
      <c r="E15" s="177">
        <v>3</v>
      </c>
      <c r="F15" s="177">
        <v>2</v>
      </c>
      <c r="G15" s="177">
        <v>9</v>
      </c>
      <c r="H15" s="177">
        <v>0</v>
      </c>
      <c r="I15" s="177">
        <v>5</v>
      </c>
      <c r="J15" s="177">
        <v>16</v>
      </c>
      <c r="K15" s="177">
        <v>4</v>
      </c>
      <c r="L15" s="177">
        <v>3</v>
      </c>
      <c r="M15" s="177">
        <v>0</v>
      </c>
    </row>
    <row r="16" spans="1:13" ht="15.75" customHeight="1">
      <c r="A16" s="75" t="s">
        <v>372</v>
      </c>
      <c r="B16" s="274">
        <v>247</v>
      </c>
      <c r="C16" s="177">
        <v>43</v>
      </c>
      <c r="D16" s="177">
        <v>72</v>
      </c>
      <c r="E16" s="177">
        <v>22</v>
      </c>
      <c r="F16" s="177">
        <v>11</v>
      </c>
      <c r="G16" s="177">
        <v>27</v>
      </c>
      <c r="H16" s="177">
        <v>5</v>
      </c>
      <c r="I16" s="177">
        <v>22</v>
      </c>
      <c r="J16" s="177">
        <v>23</v>
      </c>
      <c r="K16" s="177">
        <v>9</v>
      </c>
      <c r="L16" s="177">
        <v>6</v>
      </c>
      <c r="M16" s="177">
        <v>7</v>
      </c>
    </row>
    <row r="17" spans="1:13" ht="15.75" customHeight="1">
      <c r="A17" s="75" t="s">
        <v>373</v>
      </c>
      <c r="B17" s="274">
        <v>592</v>
      </c>
      <c r="C17" s="177">
        <v>76</v>
      </c>
      <c r="D17" s="177">
        <v>92</v>
      </c>
      <c r="E17" s="177">
        <v>96</v>
      </c>
      <c r="F17" s="177">
        <v>28</v>
      </c>
      <c r="G17" s="177">
        <v>79</v>
      </c>
      <c r="H17" s="177">
        <v>4</v>
      </c>
      <c r="I17" s="177">
        <v>64</v>
      </c>
      <c r="J17" s="177">
        <v>73</v>
      </c>
      <c r="K17" s="177">
        <v>24</v>
      </c>
      <c r="L17" s="177">
        <v>37</v>
      </c>
      <c r="M17" s="177">
        <v>19</v>
      </c>
    </row>
    <row r="18" spans="1:13" ht="15.75" customHeight="1">
      <c r="A18" s="75" t="s">
        <v>374</v>
      </c>
      <c r="B18" s="274">
        <v>265</v>
      </c>
      <c r="C18" s="177">
        <v>30</v>
      </c>
      <c r="D18" s="177">
        <v>42</v>
      </c>
      <c r="E18" s="177">
        <v>50</v>
      </c>
      <c r="F18" s="177">
        <v>17</v>
      </c>
      <c r="G18" s="177">
        <v>39</v>
      </c>
      <c r="H18" s="177">
        <v>4</v>
      </c>
      <c r="I18" s="177">
        <v>24</v>
      </c>
      <c r="J18" s="177">
        <v>34</v>
      </c>
      <c r="K18" s="177">
        <v>10</v>
      </c>
      <c r="L18" s="177">
        <v>13</v>
      </c>
      <c r="M18" s="177">
        <v>2</v>
      </c>
    </row>
    <row r="19" spans="1:13" ht="15.75" customHeight="1">
      <c r="A19" s="75" t="s">
        <v>375</v>
      </c>
      <c r="B19" s="274">
        <v>130</v>
      </c>
      <c r="C19" s="177">
        <v>18</v>
      </c>
      <c r="D19" s="177">
        <v>17</v>
      </c>
      <c r="E19" s="177">
        <v>16</v>
      </c>
      <c r="F19" s="177">
        <v>6</v>
      </c>
      <c r="G19" s="177">
        <v>23</v>
      </c>
      <c r="H19" s="177">
        <v>0</v>
      </c>
      <c r="I19" s="177">
        <v>18</v>
      </c>
      <c r="J19" s="177">
        <v>15</v>
      </c>
      <c r="K19" s="177">
        <v>8</v>
      </c>
      <c r="L19" s="177">
        <v>8</v>
      </c>
      <c r="M19" s="177">
        <v>1</v>
      </c>
    </row>
    <row r="20" spans="1:13" ht="15.75" customHeight="1">
      <c r="A20" s="75" t="s">
        <v>376</v>
      </c>
      <c r="B20" s="274">
        <v>782</v>
      </c>
      <c r="C20" s="177">
        <v>82</v>
      </c>
      <c r="D20" s="177">
        <v>85</v>
      </c>
      <c r="E20" s="177">
        <v>103</v>
      </c>
      <c r="F20" s="177">
        <v>49</v>
      </c>
      <c r="G20" s="177">
        <v>117</v>
      </c>
      <c r="H20" s="177">
        <v>12</v>
      </c>
      <c r="I20" s="177">
        <v>105</v>
      </c>
      <c r="J20" s="177">
        <v>120</v>
      </c>
      <c r="K20" s="177">
        <v>39</v>
      </c>
      <c r="L20" s="177">
        <v>39</v>
      </c>
      <c r="M20" s="177">
        <v>31</v>
      </c>
    </row>
    <row r="21" spans="1:13" ht="15.75" customHeight="1">
      <c r="A21" s="75" t="s">
        <v>377</v>
      </c>
      <c r="B21" s="274">
        <v>477</v>
      </c>
      <c r="C21" s="177">
        <v>36</v>
      </c>
      <c r="D21" s="177">
        <v>36</v>
      </c>
      <c r="E21" s="177">
        <v>20</v>
      </c>
      <c r="F21" s="177">
        <v>17</v>
      </c>
      <c r="G21" s="177">
        <v>51</v>
      </c>
      <c r="H21" s="177">
        <v>4</v>
      </c>
      <c r="I21" s="177">
        <v>124</v>
      </c>
      <c r="J21" s="177">
        <v>119</v>
      </c>
      <c r="K21" s="177">
        <v>30</v>
      </c>
      <c r="L21" s="177">
        <v>22</v>
      </c>
      <c r="M21" s="177">
        <v>18</v>
      </c>
    </row>
    <row r="22" spans="1:13" ht="15.75" customHeight="1">
      <c r="A22" s="75" t="s">
        <v>378</v>
      </c>
      <c r="B22" s="274">
        <v>401</v>
      </c>
      <c r="C22" s="177">
        <v>52</v>
      </c>
      <c r="D22" s="177">
        <v>50</v>
      </c>
      <c r="E22" s="177">
        <v>38</v>
      </c>
      <c r="F22" s="177">
        <v>25</v>
      </c>
      <c r="G22" s="177">
        <v>70</v>
      </c>
      <c r="H22" s="177">
        <v>9</v>
      </c>
      <c r="I22" s="177">
        <v>36</v>
      </c>
      <c r="J22" s="177">
        <v>60</v>
      </c>
      <c r="K22" s="177">
        <v>26</v>
      </c>
      <c r="L22" s="177">
        <v>21</v>
      </c>
      <c r="M22" s="177">
        <v>14</v>
      </c>
    </row>
    <row r="23" spans="1:13" ht="15.75" customHeight="1">
      <c r="A23" s="75" t="s">
        <v>379</v>
      </c>
      <c r="B23" s="274">
        <v>210</v>
      </c>
      <c r="C23" s="177">
        <v>15</v>
      </c>
      <c r="D23" s="177">
        <v>26</v>
      </c>
      <c r="E23" s="177">
        <v>19</v>
      </c>
      <c r="F23" s="177">
        <v>18</v>
      </c>
      <c r="G23" s="177">
        <v>26</v>
      </c>
      <c r="H23" s="177">
        <v>5</v>
      </c>
      <c r="I23" s="177">
        <v>32</v>
      </c>
      <c r="J23" s="177">
        <v>29</v>
      </c>
      <c r="K23" s="177">
        <v>13</v>
      </c>
      <c r="L23" s="177">
        <v>20</v>
      </c>
      <c r="M23" s="177">
        <v>7</v>
      </c>
    </row>
    <row r="24" spans="1:13" ht="15.75" customHeight="1">
      <c r="A24" s="75" t="s">
        <v>380</v>
      </c>
      <c r="B24" s="274">
        <v>1566</v>
      </c>
      <c r="C24" s="177">
        <v>169</v>
      </c>
      <c r="D24" s="177">
        <v>225</v>
      </c>
      <c r="E24" s="177">
        <v>229</v>
      </c>
      <c r="F24" s="177">
        <v>146</v>
      </c>
      <c r="G24" s="177">
        <v>269</v>
      </c>
      <c r="H24" s="177">
        <v>16</v>
      </c>
      <c r="I24" s="177">
        <v>148</v>
      </c>
      <c r="J24" s="177">
        <v>161</v>
      </c>
      <c r="K24" s="177">
        <v>76</v>
      </c>
      <c r="L24" s="177">
        <v>88</v>
      </c>
      <c r="M24" s="177">
        <v>39</v>
      </c>
    </row>
    <row r="25" spans="1:13" ht="15.75" customHeight="1">
      <c r="A25" s="75" t="s">
        <v>381</v>
      </c>
      <c r="B25" s="274">
        <v>13941</v>
      </c>
      <c r="C25" s="177">
        <v>2142</v>
      </c>
      <c r="D25" s="177">
        <v>2013</v>
      </c>
      <c r="E25" s="177">
        <v>1597</v>
      </c>
      <c r="F25" s="177">
        <v>1031</v>
      </c>
      <c r="G25" s="177">
        <v>2107</v>
      </c>
      <c r="H25" s="177">
        <v>157</v>
      </c>
      <c r="I25" s="177">
        <v>1545</v>
      </c>
      <c r="J25" s="177">
        <v>1513</v>
      </c>
      <c r="K25" s="177">
        <v>608</v>
      </c>
      <c r="L25" s="177">
        <v>849</v>
      </c>
      <c r="M25" s="177">
        <v>379</v>
      </c>
    </row>
    <row r="26" spans="1:13" ht="15.75" customHeight="1">
      <c r="A26" s="75" t="s">
        <v>382</v>
      </c>
      <c r="B26" s="274">
        <v>1767</v>
      </c>
      <c r="C26" s="177">
        <v>253</v>
      </c>
      <c r="D26" s="177">
        <v>287</v>
      </c>
      <c r="E26" s="177">
        <v>213</v>
      </c>
      <c r="F26" s="177">
        <v>110</v>
      </c>
      <c r="G26" s="177">
        <v>236</v>
      </c>
      <c r="H26" s="177">
        <v>17</v>
      </c>
      <c r="I26" s="177">
        <v>214</v>
      </c>
      <c r="J26" s="177">
        <v>216</v>
      </c>
      <c r="K26" s="177">
        <v>86</v>
      </c>
      <c r="L26" s="177">
        <v>100</v>
      </c>
      <c r="M26" s="177">
        <v>35</v>
      </c>
    </row>
    <row r="27" spans="1:13" ht="15.75" customHeight="1">
      <c r="A27" s="75" t="s">
        <v>383</v>
      </c>
      <c r="B27" s="274">
        <v>515</v>
      </c>
      <c r="C27" s="177">
        <v>58</v>
      </c>
      <c r="D27" s="177">
        <v>88</v>
      </c>
      <c r="E27" s="177">
        <v>54</v>
      </c>
      <c r="F27" s="177">
        <v>58</v>
      </c>
      <c r="G27" s="177">
        <v>57</v>
      </c>
      <c r="H27" s="177">
        <v>3</v>
      </c>
      <c r="I27" s="177">
        <v>75</v>
      </c>
      <c r="J27" s="177">
        <v>43</v>
      </c>
      <c r="K27" s="177">
        <v>20</v>
      </c>
      <c r="L27" s="177">
        <v>48</v>
      </c>
      <c r="M27" s="177">
        <v>11</v>
      </c>
    </row>
    <row r="28" spans="1:13" ht="15.75" customHeight="1">
      <c r="A28" s="75" t="s">
        <v>384</v>
      </c>
      <c r="B28" s="274">
        <v>576</v>
      </c>
      <c r="C28" s="177">
        <v>121</v>
      </c>
      <c r="D28" s="177">
        <v>114</v>
      </c>
      <c r="E28" s="177">
        <v>40</v>
      </c>
      <c r="F28" s="177">
        <v>70</v>
      </c>
      <c r="G28" s="177">
        <v>82</v>
      </c>
      <c r="H28" s="177">
        <v>6</v>
      </c>
      <c r="I28" s="177">
        <v>46</v>
      </c>
      <c r="J28" s="177">
        <v>47</v>
      </c>
      <c r="K28" s="177">
        <v>20</v>
      </c>
      <c r="L28" s="177">
        <v>21</v>
      </c>
      <c r="M28" s="177">
        <v>9</v>
      </c>
    </row>
    <row r="29" spans="1:13" ht="15.75" customHeight="1">
      <c r="A29" s="75" t="s">
        <v>385</v>
      </c>
      <c r="B29" s="274">
        <v>111</v>
      </c>
      <c r="C29" s="177">
        <v>20</v>
      </c>
      <c r="D29" s="177">
        <v>22</v>
      </c>
      <c r="E29" s="177">
        <v>9</v>
      </c>
      <c r="F29" s="177">
        <v>7</v>
      </c>
      <c r="G29" s="177">
        <v>16</v>
      </c>
      <c r="H29" s="177">
        <v>1</v>
      </c>
      <c r="I29" s="177">
        <v>13</v>
      </c>
      <c r="J29" s="177">
        <v>7</v>
      </c>
      <c r="K29" s="177">
        <v>2</v>
      </c>
      <c r="L29" s="177">
        <v>9</v>
      </c>
      <c r="M29" s="177">
        <v>5</v>
      </c>
    </row>
    <row r="30" spans="1:13" ht="15.75" customHeight="1">
      <c r="A30" s="75" t="s">
        <v>386</v>
      </c>
      <c r="B30" s="274">
        <v>65</v>
      </c>
      <c r="C30" s="177">
        <v>11</v>
      </c>
      <c r="D30" s="177">
        <v>5</v>
      </c>
      <c r="E30" s="177">
        <v>13</v>
      </c>
      <c r="F30" s="177">
        <v>6</v>
      </c>
      <c r="G30" s="177">
        <v>10</v>
      </c>
      <c r="H30" s="177">
        <v>1</v>
      </c>
      <c r="I30" s="177">
        <v>8</v>
      </c>
      <c r="J30" s="177">
        <v>6</v>
      </c>
      <c r="K30" s="177">
        <v>3</v>
      </c>
      <c r="L30" s="177">
        <v>2</v>
      </c>
      <c r="M30" s="177">
        <v>0</v>
      </c>
    </row>
    <row r="31" spans="1:13" ht="15.75" customHeight="1">
      <c r="A31" s="75" t="s">
        <v>387</v>
      </c>
      <c r="B31" s="274">
        <v>297</v>
      </c>
      <c r="C31" s="177">
        <v>49</v>
      </c>
      <c r="D31" s="177">
        <v>32</v>
      </c>
      <c r="E31" s="177">
        <v>36</v>
      </c>
      <c r="F31" s="177">
        <v>23</v>
      </c>
      <c r="G31" s="177">
        <v>44</v>
      </c>
      <c r="H31" s="177">
        <v>3</v>
      </c>
      <c r="I31" s="177">
        <v>34</v>
      </c>
      <c r="J31" s="177">
        <v>30</v>
      </c>
      <c r="K31" s="177">
        <v>16</v>
      </c>
      <c r="L31" s="177">
        <v>23</v>
      </c>
      <c r="M31" s="177">
        <v>7</v>
      </c>
    </row>
    <row r="32" spans="1:13" ht="15.75" customHeight="1">
      <c r="A32" s="75" t="s">
        <v>388</v>
      </c>
      <c r="B32" s="274">
        <v>1608</v>
      </c>
      <c r="C32" s="177">
        <v>289</v>
      </c>
      <c r="D32" s="177">
        <v>238</v>
      </c>
      <c r="E32" s="177">
        <v>188</v>
      </c>
      <c r="F32" s="177">
        <v>134</v>
      </c>
      <c r="G32" s="177">
        <v>229</v>
      </c>
      <c r="H32" s="177">
        <v>7</v>
      </c>
      <c r="I32" s="177">
        <v>139</v>
      </c>
      <c r="J32" s="177">
        <v>150</v>
      </c>
      <c r="K32" s="177">
        <v>96</v>
      </c>
      <c r="L32" s="177">
        <v>102</v>
      </c>
      <c r="M32" s="177">
        <v>36</v>
      </c>
    </row>
    <row r="33" spans="1:13" ht="15.75" customHeight="1">
      <c r="A33" s="75" t="s">
        <v>389</v>
      </c>
      <c r="B33" s="274">
        <v>120</v>
      </c>
      <c r="C33" s="177">
        <v>23</v>
      </c>
      <c r="D33" s="177">
        <v>18</v>
      </c>
      <c r="E33" s="177">
        <v>17</v>
      </c>
      <c r="F33" s="177">
        <v>7</v>
      </c>
      <c r="G33" s="177">
        <v>24</v>
      </c>
      <c r="H33" s="177">
        <v>1</v>
      </c>
      <c r="I33" s="177">
        <v>8</v>
      </c>
      <c r="J33" s="177">
        <v>7</v>
      </c>
      <c r="K33" s="177">
        <v>4</v>
      </c>
      <c r="L33" s="177">
        <v>6</v>
      </c>
      <c r="M33" s="177">
        <v>5</v>
      </c>
    </row>
    <row r="34" spans="1:13" ht="15.75" customHeight="1">
      <c r="A34" s="75" t="s">
        <v>390</v>
      </c>
      <c r="B34" s="274">
        <v>1517</v>
      </c>
      <c r="C34" s="177">
        <v>296</v>
      </c>
      <c r="D34" s="177">
        <v>207</v>
      </c>
      <c r="E34" s="177">
        <v>167</v>
      </c>
      <c r="F34" s="177">
        <v>113</v>
      </c>
      <c r="G34" s="177">
        <v>246</v>
      </c>
      <c r="H34" s="177">
        <v>14</v>
      </c>
      <c r="I34" s="177">
        <v>139</v>
      </c>
      <c r="J34" s="177">
        <v>159</v>
      </c>
      <c r="K34" s="177">
        <v>51</v>
      </c>
      <c r="L34" s="177">
        <v>96</v>
      </c>
      <c r="M34" s="177">
        <v>29</v>
      </c>
    </row>
    <row r="35" spans="1:13" ht="15.75" customHeight="1">
      <c r="A35" s="75" t="s">
        <v>391</v>
      </c>
      <c r="B35" s="274">
        <v>409</v>
      </c>
      <c r="C35" s="177">
        <v>89</v>
      </c>
      <c r="D35" s="177">
        <v>59</v>
      </c>
      <c r="E35" s="177">
        <v>24</v>
      </c>
      <c r="F35" s="177">
        <v>25</v>
      </c>
      <c r="G35" s="177">
        <v>75</v>
      </c>
      <c r="H35" s="177">
        <v>4</v>
      </c>
      <c r="I35" s="177">
        <v>39</v>
      </c>
      <c r="J35" s="177">
        <v>33</v>
      </c>
      <c r="K35" s="177">
        <v>17</v>
      </c>
      <c r="L35" s="177">
        <v>29</v>
      </c>
      <c r="M35" s="177">
        <v>15</v>
      </c>
    </row>
    <row r="36" spans="1:13" ht="15.75" customHeight="1">
      <c r="A36" s="75" t="s">
        <v>392</v>
      </c>
      <c r="B36" s="274">
        <v>511</v>
      </c>
      <c r="C36" s="177">
        <v>80</v>
      </c>
      <c r="D36" s="177">
        <v>78</v>
      </c>
      <c r="E36" s="177">
        <v>56</v>
      </c>
      <c r="F36" s="177">
        <v>40</v>
      </c>
      <c r="G36" s="177">
        <v>79</v>
      </c>
      <c r="H36" s="177">
        <v>10</v>
      </c>
      <c r="I36" s="177">
        <v>53</v>
      </c>
      <c r="J36" s="177">
        <v>61</v>
      </c>
      <c r="K36" s="177">
        <v>16</v>
      </c>
      <c r="L36" s="177">
        <v>27</v>
      </c>
      <c r="M36" s="177">
        <v>11</v>
      </c>
    </row>
    <row r="37" spans="1:13" ht="15.75" customHeight="1">
      <c r="A37" s="75" t="s">
        <v>393</v>
      </c>
      <c r="B37" s="274">
        <v>228</v>
      </c>
      <c r="C37" s="177">
        <v>37</v>
      </c>
      <c r="D37" s="177">
        <v>40</v>
      </c>
      <c r="E37" s="177">
        <v>17</v>
      </c>
      <c r="F37" s="177">
        <v>9</v>
      </c>
      <c r="G37" s="177">
        <v>45</v>
      </c>
      <c r="H37" s="177">
        <v>6</v>
      </c>
      <c r="I37" s="177">
        <v>23</v>
      </c>
      <c r="J37" s="177">
        <v>27</v>
      </c>
      <c r="K37" s="177">
        <v>9</v>
      </c>
      <c r="L37" s="177">
        <v>9</v>
      </c>
      <c r="M37" s="177">
        <v>6</v>
      </c>
    </row>
    <row r="38" spans="1:13" ht="15.75" customHeight="1">
      <c r="A38" s="75" t="s">
        <v>394</v>
      </c>
      <c r="B38" s="274">
        <v>942</v>
      </c>
      <c r="C38" s="177">
        <v>138</v>
      </c>
      <c r="D38" s="177">
        <v>135</v>
      </c>
      <c r="E38" s="177">
        <v>87</v>
      </c>
      <c r="F38" s="177">
        <v>45</v>
      </c>
      <c r="G38" s="177">
        <v>136</v>
      </c>
      <c r="H38" s="177">
        <v>9</v>
      </c>
      <c r="I38" s="177">
        <v>164</v>
      </c>
      <c r="J38" s="177">
        <v>132</v>
      </c>
      <c r="K38" s="177">
        <v>40</v>
      </c>
      <c r="L38" s="177">
        <v>37</v>
      </c>
      <c r="M38" s="177">
        <v>19</v>
      </c>
    </row>
    <row r="39" spans="1:13" ht="15.75" customHeight="1">
      <c r="A39" s="75" t="s">
        <v>395</v>
      </c>
      <c r="B39" s="274">
        <v>1524</v>
      </c>
      <c r="C39" s="177">
        <v>175</v>
      </c>
      <c r="D39" s="177">
        <v>209</v>
      </c>
      <c r="E39" s="177">
        <v>195</v>
      </c>
      <c r="F39" s="177">
        <v>161</v>
      </c>
      <c r="G39" s="177">
        <v>235</v>
      </c>
      <c r="H39" s="177">
        <v>16</v>
      </c>
      <c r="I39" s="177">
        <v>171</v>
      </c>
      <c r="J39" s="177">
        <v>158</v>
      </c>
      <c r="K39" s="177">
        <v>58</v>
      </c>
      <c r="L39" s="177">
        <v>104</v>
      </c>
      <c r="M39" s="177">
        <v>42</v>
      </c>
    </row>
    <row r="40" spans="1:13" ht="15.75" customHeight="1">
      <c r="A40" s="75" t="s">
        <v>396</v>
      </c>
      <c r="B40" s="274">
        <v>852</v>
      </c>
      <c r="C40" s="177">
        <v>105</v>
      </c>
      <c r="D40" s="177">
        <v>98</v>
      </c>
      <c r="E40" s="177">
        <v>104</v>
      </c>
      <c r="F40" s="177">
        <v>51</v>
      </c>
      <c r="G40" s="177">
        <v>135</v>
      </c>
      <c r="H40" s="177">
        <v>20</v>
      </c>
      <c r="I40" s="177">
        <v>92</v>
      </c>
      <c r="J40" s="177">
        <v>103</v>
      </c>
      <c r="K40" s="177">
        <v>41</v>
      </c>
      <c r="L40" s="177">
        <v>61</v>
      </c>
      <c r="M40" s="177">
        <v>42</v>
      </c>
    </row>
    <row r="41" spans="1:13" ht="15.75" customHeight="1">
      <c r="A41" s="75" t="s">
        <v>397</v>
      </c>
      <c r="B41" s="274">
        <v>854</v>
      </c>
      <c r="C41" s="177">
        <v>117</v>
      </c>
      <c r="D41" s="177">
        <v>115</v>
      </c>
      <c r="E41" s="177">
        <v>123</v>
      </c>
      <c r="F41" s="177">
        <v>54</v>
      </c>
      <c r="G41" s="177">
        <v>126</v>
      </c>
      <c r="H41" s="177">
        <v>14</v>
      </c>
      <c r="I41" s="177">
        <v>92</v>
      </c>
      <c r="J41" s="177">
        <v>103</v>
      </c>
      <c r="K41" s="177">
        <v>30</v>
      </c>
      <c r="L41" s="177">
        <v>52</v>
      </c>
      <c r="M41" s="177">
        <v>28</v>
      </c>
    </row>
    <row r="42" spans="1:13" ht="15.75" customHeight="1">
      <c r="A42" s="75" t="s">
        <v>398</v>
      </c>
      <c r="B42" s="274">
        <v>996</v>
      </c>
      <c r="C42" s="177">
        <v>120</v>
      </c>
      <c r="D42" s="177">
        <v>129</v>
      </c>
      <c r="E42" s="177">
        <v>123</v>
      </c>
      <c r="F42" s="177">
        <v>49</v>
      </c>
      <c r="G42" s="177">
        <v>164</v>
      </c>
      <c r="H42" s="177">
        <v>9</v>
      </c>
      <c r="I42" s="177">
        <v>127</v>
      </c>
      <c r="J42" s="177">
        <v>132</v>
      </c>
      <c r="K42" s="177">
        <v>44</v>
      </c>
      <c r="L42" s="177">
        <v>66</v>
      </c>
      <c r="M42" s="177">
        <v>33</v>
      </c>
    </row>
    <row r="43" spans="1:13" ht="15.75" customHeight="1">
      <c r="A43" s="75" t="s">
        <v>399</v>
      </c>
      <c r="B43" s="274">
        <v>361</v>
      </c>
      <c r="C43" s="177">
        <v>56</v>
      </c>
      <c r="D43" s="177">
        <v>45</v>
      </c>
      <c r="E43" s="177">
        <v>34</v>
      </c>
      <c r="F43" s="177">
        <v>26</v>
      </c>
      <c r="G43" s="177">
        <v>65</v>
      </c>
      <c r="H43" s="177">
        <v>8</v>
      </c>
      <c r="I43" s="177">
        <v>27</v>
      </c>
      <c r="J43" s="177">
        <v>45</v>
      </c>
      <c r="K43" s="177">
        <v>19</v>
      </c>
      <c r="L43" s="177">
        <v>25</v>
      </c>
      <c r="M43" s="177">
        <v>11</v>
      </c>
    </row>
    <row r="44" spans="1:13" ht="15.75" customHeight="1">
      <c r="A44" s="75" t="s">
        <v>400</v>
      </c>
      <c r="B44" s="274">
        <v>513</v>
      </c>
      <c r="C44" s="177">
        <v>76</v>
      </c>
      <c r="D44" s="177">
        <v>76</v>
      </c>
      <c r="E44" s="177">
        <v>76</v>
      </c>
      <c r="F44" s="177">
        <v>35</v>
      </c>
      <c r="G44" s="177">
        <v>71</v>
      </c>
      <c r="H44" s="177">
        <v>6</v>
      </c>
      <c r="I44" s="177">
        <v>55</v>
      </c>
      <c r="J44" s="177">
        <v>34</v>
      </c>
      <c r="K44" s="177">
        <v>31</v>
      </c>
      <c r="L44" s="177">
        <v>23</v>
      </c>
      <c r="M44" s="177">
        <v>30</v>
      </c>
    </row>
    <row r="45" spans="1:13" ht="15.75" customHeight="1">
      <c r="A45" s="75" t="s">
        <v>401</v>
      </c>
      <c r="B45" s="274">
        <v>146</v>
      </c>
      <c r="C45" s="177">
        <v>26</v>
      </c>
      <c r="D45" s="177">
        <v>17</v>
      </c>
      <c r="E45" s="177">
        <v>19</v>
      </c>
      <c r="F45" s="177">
        <v>7</v>
      </c>
      <c r="G45" s="177">
        <v>26</v>
      </c>
      <c r="H45" s="177">
        <v>1</v>
      </c>
      <c r="I45" s="177">
        <v>22</v>
      </c>
      <c r="J45" s="177">
        <v>12</v>
      </c>
      <c r="K45" s="177">
        <v>5</v>
      </c>
      <c r="L45" s="177">
        <v>6</v>
      </c>
      <c r="M45" s="177">
        <v>5</v>
      </c>
    </row>
    <row r="46" spans="1:13" ht="15.75" customHeight="1">
      <c r="A46" s="75" t="s">
        <v>402</v>
      </c>
      <c r="B46" s="274">
        <v>29</v>
      </c>
      <c r="C46" s="177">
        <v>3</v>
      </c>
      <c r="D46" s="177">
        <v>1</v>
      </c>
      <c r="E46" s="177">
        <v>2</v>
      </c>
      <c r="F46" s="177">
        <v>1</v>
      </c>
      <c r="G46" s="177">
        <v>6</v>
      </c>
      <c r="H46" s="177">
        <v>1</v>
      </c>
      <c r="I46" s="177">
        <v>4</v>
      </c>
      <c r="J46" s="177">
        <v>8</v>
      </c>
      <c r="K46" s="177">
        <v>0</v>
      </c>
      <c r="L46" s="177">
        <v>3</v>
      </c>
      <c r="M46" s="177">
        <v>0</v>
      </c>
    </row>
    <row r="47" spans="1:13" ht="15.75" customHeight="1">
      <c r="A47" s="78" t="s">
        <v>403</v>
      </c>
      <c r="B47" s="273">
        <v>484</v>
      </c>
      <c r="C47" s="176">
        <v>71</v>
      </c>
      <c r="D47" s="176">
        <v>65</v>
      </c>
      <c r="E47" s="176">
        <v>53</v>
      </c>
      <c r="F47" s="176">
        <v>18</v>
      </c>
      <c r="G47" s="176">
        <v>79</v>
      </c>
      <c r="H47" s="176">
        <v>3</v>
      </c>
      <c r="I47" s="176">
        <v>77</v>
      </c>
      <c r="J47" s="176">
        <v>69</v>
      </c>
      <c r="K47" s="176">
        <v>23</v>
      </c>
      <c r="L47" s="176">
        <v>13</v>
      </c>
      <c r="M47" s="176">
        <v>13</v>
      </c>
    </row>
    <row r="48" spans="1:13" ht="15.75" customHeight="1">
      <c r="A48" s="78" t="s">
        <v>509</v>
      </c>
      <c r="B48" s="273">
        <v>2681</v>
      </c>
      <c r="C48" s="176">
        <v>444</v>
      </c>
      <c r="D48" s="176">
        <v>360</v>
      </c>
      <c r="E48" s="176">
        <v>352</v>
      </c>
      <c r="F48" s="176">
        <v>164</v>
      </c>
      <c r="G48" s="176">
        <v>363</v>
      </c>
      <c r="H48" s="176">
        <v>28</v>
      </c>
      <c r="I48" s="176">
        <v>288</v>
      </c>
      <c r="J48" s="176">
        <v>330</v>
      </c>
      <c r="K48" s="176">
        <v>120</v>
      </c>
      <c r="L48" s="176">
        <v>150</v>
      </c>
      <c r="M48" s="176">
        <v>82</v>
      </c>
    </row>
    <row r="49" spans="1:13" ht="15.75" customHeight="1">
      <c r="A49" s="78" t="s">
        <v>405</v>
      </c>
      <c r="B49" s="273">
        <v>8281</v>
      </c>
      <c r="C49" s="176">
        <v>1043</v>
      </c>
      <c r="D49" s="176">
        <v>1103</v>
      </c>
      <c r="E49" s="176">
        <v>1078</v>
      </c>
      <c r="F49" s="176">
        <v>481</v>
      </c>
      <c r="G49" s="176">
        <v>1234</v>
      </c>
      <c r="H49" s="176">
        <v>122</v>
      </c>
      <c r="I49" s="176">
        <v>1006</v>
      </c>
      <c r="J49" s="176">
        <v>976</v>
      </c>
      <c r="K49" s="176">
        <v>381</v>
      </c>
      <c r="L49" s="176">
        <v>599</v>
      </c>
      <c r="M49" s="176">
        <v>258</v>
      </c>
    </row>
    <row r="50" spans="1:13" ht="15.75" customHeight="1" thickBot="1">
      <c r="A50" s="138" t="s">
        <v>406</v>
      </c>
      <c r="B50" s="275">
        <v>7580</v>
      </c>
      <c r="C50" s="178">
        <v>1337</v>
      </c>
      <c r="D50" s="178">
        <v>955</v>
      </c>
      <c r="E50" s="178">
        <v>856</v>
      </c>
      <c r="F50" s="178">
        <v>562</v>
      </c>
      <c r="G50" s="178">
        <v>1343</v>
      </c>
      <c r="H50" s="178">
        <v>95</v>
      </c>
      <c r="I50" s="178">
        <v>830</v>
      </c>
      <c r="J50" s="178">
        <v>743</v>
      </c>
      <c r="K50" s="178">
        <v>263</v>
      </c>
      <c r="L50" s="178">
        <v>392</v>
      </c>
      <c r="M50" s="178">
        <v>204</v>
      </c>
    </row>
    <row r="51" spans="1:13" ht="15.75" customHeight="1">
      <c r="A51" s="391" t="s">
        <v>635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</sheetData>
  <sheetProtection/>
  <mergeCells count="5">
    <mergeCell ref="A1:M1"/>
    <mergeCell ref="A2:M2"/>
    <mergeCell ref="A3:M3"/>
    <mergeCell ref="C4:M4"/>
    <mergeCell ref="A51:M51"/>
  </mergeCells>
  <printOptions/>
  <pageMargins left="0.7" right="0.7" top="0.787401575" bottom="0.7874015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="85" zoomScaleNormal="85" zoomScalePageLayoutView="0" workbookViewId="0" topLeftCell="A1">
      <selection activeCell="T18" sqref="T18"/>
    </sheetView>
  </sheetViews>
  <sheetFormatPr defaultColWidth="11.421875" defaultRowHeight="12.75"/>
  <cols>
    <col min="1" max="1" width="54.7109375" style="41" customWidth="1"/>
    <col min="2" max="2" width="8.8515625" style="41" bestFit="1" customWidth="1"/>
    <col min="3" max="3" width="7.8515625" style="41" bestFit="1" customWidth="1"/>
    <col min="4" max="4" width="9.28125" style="41" bestFit="1" customWidth="1"/>
    <col min="5" max="5" width="8.8515625" style="41" bestFit="1" customWidth="1"/>
    <col min="6" max="6" width="14.140625" style="41" bestFit="1" customWidth="1"/>
    <col min="7" max="7" width="9.28125" style="41" bestFit="1" customWidth="1"/>
    <col min="8" max="8" width="9.7109375" style="41" bestFit="1" customWidth="1"/>
    <col min="9" max="9" width="9.00390625" style="41" bestFit="1" customWidth="1"/>
    <col min="10" max="10" width="9.28125" style="41" bestFit="1" customWidth="1"/>
    <col min="11" max="11" width="10.28125" style="41" bestFit="1" customWidth="1"/>
    <col min="12" max="12" width="9.28125" style="41" bestFit="1" customWidth="1"/>
    <col min="13" max="13" width="15.140625" style="41" bestFit="1" customWidth="1"/>
    <col min="14" max="16384" width="11.421875" style="41" customWidth="1"/>
  </cols>
  <sheetData>
    <row r="1" spans="1:13" ht="18" customHeight="1">
      <c r="A1" s="407" t="s">
        <v>407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5.75" customHeight="1">
      <c r="A2" s="416" t="s">
        <v>528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5.75" customHeight="1" thickBot="1">
      <c r="A3" s="405" t="s">
        <v>441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ht="15.75" customHeight="1">
      <c r="A4" s="161"/>
      <c r="B4" s="339" t="s">
        <v>134</v>
      </c>
      <c r="C4" s="411" t="s">
        <v>122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5.75" customHeight="1">
      <c r="A5" s="161"/>
      <c r="B5" s="340"/>
      <c r="C5" s="335" t="s">
        <v>123</v>
      </c>
      <c r="D5" s="335" t="s">
        <v>124</v>
      </c>
      <c r="E5" s="335" t="s">
        <v>125</v>
      </c>
      <c r="F5" s="335" t="s">
        <v>126</v>
      </c>
      <c r="G5" s="335" t="s">
        <v>127</v>
      </c>
      <c r="H5" s="335" t="s">
        <v>128</v>
      </c>
      <c r="I5" s="335" t="s">
        <v>129</v>
      </c>
      <c r="J5" s="335" t="s">
        <v>130</v>
      </c>
      <c r="K5" s="335" t="s">
        <v>131</v>
      </c>
      <c r="L5" s="335" t="s">
        <v>132</v>
      </c>
      <c r="M5" s="335" t="s">
        <v>133</v>
      </c>
    </row>
    <row r="6" spans="1:13" ht="15.75" customHeight="1">
      <c r="A6" s="179" t="s">
        <v>134</v>
      </c>
      <c r="B6" s="262">
        <v>17669</v>
      </c>
      <c r="C6" s="68">
        <v>2543</v>
      </c>
      <c r="D6" s="68">
        <v>2488</v>
      </c>
      <c r="E6" s="68">
        <v>1985</v>
      </c>
      <c r="F6" s="68">
        <v>1312</v>
      </c>
      <c r="G6" s="68">
        <v>2735</v>
      </c>
      <c r="H6" s="68">
        <v>198</v>
      </c>
      <c r="I6" s="68">
        <v>2054</v>
      </c>
      <c r="J6" s="68">
        <v>2057</v>
      </c>
      <c r="K6" s="68">
        <v>785</v>
      </c>
      <c r="L6" s="68">
        <v>1019</v>
      </c>
      <c r="M6" s="68">
        <v>493</v>
      </c>
    </row>
    <row r="7" spans="1:13" ht="15.75" customHeight="1">
      <c r="A7" s="101" t="s">
        <v>364</v>
      </c>
      <c r="B7" s="261">
        <v>181</v>
      </c>
      <c r="C7" s="98">
        <v>17</v>
      </c>
      <c r="D7" s="98">
        <v>15</v>
      </c>
      <c r="E7" s="98">
        <v>30</v>
      </c>
      <c r="F7" s="98">
        <v>14</v>
      </c>
      <c r="G7" s="98">
        <v>17</v>
      </c>
      <c r="H7" s="98">
        <v>3</v>
      </c>
      <c r="I7" s="98">
        <v>26</v>
      </c>
      <c r="J7" s="98">
        <v>18</v>
      </c>
      <c r="K7" s="98">
        <v>15</v>
      </c>
      <c r="L7" s="98">
        <v>16</v>
      </c>
      <c r="M7" s="98">
        <v>10</v>
      </c>
    </row>
    <row r="8" spans="1:13" ht="15.75" customHeight="1">
      <c r="A8" s="81" t="s">
        <v>365</v>
      </c>
      <c r="B8" s="262">
        <v>181</v>
      </c>
      <c r="C8" s="68">
        <v>17</v>
      </c>
      <c r="D8" s="68">
        <v>15</v>
      </c>
      <c r="E8" s="68">
        <v>30</v>
      </c>
      <c r="F8" s="68">
        <v>14</v>
      </c>
      <c r="G8" s="68">
        <v>17</v>
      </c>
      <c r="H8" s="68">
        <v>3</v>
      </c>
      <c r="I8" s="68">
        <v>26</v>
      </c>
      <c r="J8" s="68">
        <v>18</v>
      </c>
      <c r="K8" s="68">
        <v>15</v>
      </c>
      <c r="L8" s="68">
        <v>16</v>
      </c>
      <c r="M8" s="68">
        <v>10</v>
      </c>
    </row>
    <row r="9" spans="1:13" ht="15.75" customHeight="1">
      <c r="A9" s="101" t="s">
        <v>366</v>
      </c>
      <c r="B9" s="261">
        <v>4931</v>
      </c>
      <c r="C9" s="98">
        <v>573</v>
      </c>
      <c r="D9" s="98">
        <v>674</v>
      </c>
      <c r="E9" s="98">
        <v>584</v>
      </c>
      <c r="F9" s="98">
        <v>335</v>
      </c>
      <c r="G9" s="98">
        <v>797</v>
      </c>
      <c r="H9" s="98">
        <v>53</v>
      </c>
      <c r="I9" s="98">
        <v>625</v>
      </c>
      <c r="J9" s="98">
        <v>667</v>
      </c>
      <c r="K9" s="98">
        <v>236</v>
      </c>
      <c r="L9" s="98">
        <v>252</v>
      </c>
      <c r="M9" s="98">
        <v>135</v>
      </c>
    </row>
    <row r="10" spans="1:13" ht="15.75" customHeight="1">
      <c r="A10" s="81" t="s">
        <v>367</v>
      </c>
      <c r="B10" s="262">
        <v>24</v>
      </c>
      <c r="C10" s="68">
        <v>1</v>
      </c>
      <c r="D10" s="68">
        <v>4</v>
      </c>
      <c r="E10" s="68">
        <v>9</v>
      </c>
      <c r="F10" s="68">
        <v>2</v>
      </c>
      <c r="G10" s="68">
        <v>0</v>
      </c>
      <c r="H10" s="68">
        <v>0</v>
      </c>
      <c r="I10" s="68">
        <v>1</v>
      </c>
      <c r="J10" s="68">
        <v>2</v>
      </c>
      <c r="K10" s="68">
        <v>0</v>
      </c>
      <c r="L10" s="68">
        <v>4</v>
      </c>
      <c r="M10" s="68">
        <v>1</v>
      </c>
    </row>
    <row r="11" spans="1:13" ht="15.75" customHeight="1">
      <c r="A11" s="81" t="s">
        <v>368</v>
      </c>
      <c r="B11" s="262">
        <v>461</v>
      </c>
      <c r="C11" s="68">
        <v>58</v>
      </c>
      <c r="D11" s="68">
        <v>63</v>
      </c>
      <c r="E11" s="68">
        <v>27</v>
      </c>
      <c r="F11" s="68">
        <v>14</v>
      </c>
      <c r="G11" s="68">
        <v>118</v>
      </c>
      <c r="H11" s="68">
        <v>1</v>
      </c>
      <c r="I11" s="68">
        <v>75</v>
      </c>
      <c r="J11" s="68">
        <v>61</v>
      </c>
      <c r="K11" s="68">
        <v>17</v>
      </c>
      <c r="L11" s="68">
        <v>14</v>
      </c>
      <c r="M11" s="68">
        <v>13</v>
      </c>
    </row>
    <row r="12" spans="1:13" ht="15.75" customHeight="1">
      <c r="A12" s="81" t="s">
        <v>369</v>
      </c>
      <c r="B12" s="262">
        <v>55</v>
      </c>
      <c r="C12" s="68">
        <v>7</v>
      </c>
      <c r="D12" s="68">
        <v>7</v>
      </c>
      <c r="E12" s="68">
        <v>2</v>
      </c>
      <c r="F12" s="68">
        <v>6</v>
      </c>
      <c r="G12" s="68">
        <v>13</v>
      </c>
      <c r="H12" s="68">
        <v>1</v>
      </c>
      <c r="I12" s="68">
        <v>5</v>
      </c>
      <c r="J12" s="68">
        <v>7</v>
      </c>
      <c r="K12" s="68">
        <v>4</v>
      </c>
      <c r="L12" s="68">
        <v>3</v>
      </c>
      <c r="M12" s="68">
        <v>0</v>
      </c>
    </row>
    <row r="13" spans="1:13" ht="15.75" customHeight="1">
      <c r="A13" s="81" t="s">
        <v>370</v>
      </c>
      <c r="B13" s="262">
        <v>232</v>
      </c>
      <c r="C13" s="68">
        <v>40</v>
      </c>
      <c r="D13" s="68">
        <v>26</v>
      </c>
      <c r="E13" s="68">
        <v>32</v>
      </c>
      <c r="F13" s="68">
        <v>21</v>
      </c>
      <c r="G13" s="68">
        <v>35</v>
      </c>
      <c r="H13" s="68">
        <v>2</v>
      </c>
      <c r="I13" s="68">
        <v>26</v>
      </c>
      <c r="J13" s="68">
        <v>20</v>
      </c>
      <c r="K13" s="68">
        <v>12</v>
      </c>
      <c r="L13" s="68">
        <v>12</v>
      </c>
      <c r="M13" s="68">
        <v>6</v>
      </c>
    </row>
    <row r="14" spans="1:13" ht="15.75" customHeight="1">
      <c r="A14" s="81" t="s">
        <v>371</v>
      </c>
      <c r="B14" s="262">
        <v>24</v>
      </c>
      <c r="C14" s="68">
        <v>2</v>
      </c>
      <c r="D14" s="68">
        <v>0</v>
      </c>
      <c r="E14" s="68">
        <v>3</v>
      </c>
      <c r="F14" s="68">
        <v>0</v>
      </c>
      <c r="G14" s="68">
        <v>2</v>
      </c>
      <c r="H14" s="68">
        <v>0</v>
      </c>
      <c r="I14" s="68">
        <v>4</v>
      </c>
      <c r="J14" s="68">
        <v>8</v>
      </c>
      <c r="K14" s="68">
        <v>3</v>
      </c>
      <c r="L14" s="68">
        <v>2</v>
      </c>
      <c r="M14" s="68">
        <v>0</v>
      </c>
    </row>
    <row r="15" spans="1:13" ht="15.75" customHeight="1">
      <c r="A15" s="81" t="s">
        <v>372</v>
      </c>
      <c r="B15" s="262">
        <v>213</v>
      </c>
      <c r="C15" s="68">
        <v>41</v>
      </c>
      <c r="D15" s="68">
        <v>68</v>
      </c>
      <c r="E15" s="68">
        <v>17</v>
      </c>
      <c r="F15" s="68">
        <v>9</v>
      </c>
      <c r="G15" s="68">
        <v>22</v>
      </c>
      <c r="H15" s="68">
        <v>5</v>
      </c>
      <c r="I15" s="68">
        <v>17</v>
      </c>
      <c r="J15" s="68">
        <v>17</v>
      </c>
      <c r="K15" s="68">
        <v>8</v>
      </c>
      <c r="L15" s="68">
        <v>6</v>
      </c>
      <c r="M15" s="68">
        <v>3</v>
      </c>
    </row>
    <row r="16" spans="1:13" ht="15.75" customHeight="1">
      <c r="A16" s="81" t="s">
        <v>373</v>
      </c>
      <c r="B16" s="262">
        <v>507</v>
      </c>
      <c r="C16" s="68">
        <v>65</v>
      </c>
      <c r="D16" s="68">
        <v>83</v>
      </c>
      <c r="E16" s="68">
        <v>83</v>
      </c>
      <c r="F16" s="68">
        <v>25</v>
      </c>
      <c r="G16" s="68">
        <v>71</v>
      </c>
      <c r="H16" s="68">
        <v>1</v>
      </c>
      <c r="I16" s="68">
        <v>53</v>
      </c>
      <c r="J16" s="68">
        <v>59</v>
      </c>
      <c r="K16" s="68">
        <v>17</v>
      </c>
      <c r="L16" s="68">
        <v>32</v>
      </c>
      <c r="M16" s="68">
        <v>18</v>
      </c>
    </row>
    <row r="17" spans="1:13" ht="15.75" customHeight="1">
      <c r="A17" s="81" t="s">
        <v>374</v>
      </c>
      <c r="B17" s="262">
        <v>212</v>
      </c>
      <c r="C17" s="68">
        <v>27</v>
      </c>
      <c r="D17" s="68">
        <v>32</v>
      </c>
      <c r="E17" s="68">
        <v>39</v>
      </c>
      <c r="F17" s="68">
        <v>13</v>
      </c>
      <c r="G17" s="68">
        <v>33</v>
      </c>
      <c r="H17" s="68">
        <v>4</v>
      </c>
      <c r="I17" s="68">
        <v>20</v>
      </c>
      <c r="J17" s="68">
        <v>29</v>
      </c>
      <c r="K17" s="68">
        <v>5</v>
      </c>
      <c r="L17" s="68">
        <v>10</v>
      </c>
      <c r="M17" s="68">
        <v>0</v>
      </c>
    </row>
    <row r="18" spans="1:13" ht="15.75" customHeight="1">
      <c r="A18" s="81" t="s">
        <v>375</v>
      </c>
      <c r="B18" s="262">
        <v>113</v>
      </c>
      <c r="C18" s="68">
        <v>17</v>
      </c>
      <c r="D18" s="68">
        <v>14</v>
      </c>
      <c r="E18" s="68">
        <v>13</v>
      </c>
      <c r="F18" s="68">
        <v>5</v>
      </c>
      <c r="G18" s="68">
        <v>23</v>
      </c>
      <c r="H18" s="68">
        <v>0</v>
      </c>
      <c r="I18" s="68">
        <v>15</v>
      </c>
      <c r="J18" s="68">
        <v>13</v>
      </c>
      <c r="K18" s="68">
        <v>7</v>
      </c>
      <c r="L18" s="68">
        <v>6</v>
      </c>
      <c r="M18" s="68">
        <v>0</v>
      </c>
    </row>
    <row r="19" spans="1:13" ht="15.75" customHeight="1">
      <c r="A19" s="81" t="s">
        <v>376</v>
      </c>
      <c r="B19" s="262">
        <v>624</v>
      </c>
      <c r="C19" s="68">
        <v>62</v>
      </c>
      <c r="D19" s="68">
        <v>69</v>
      </c>
      <c r="E19" s="68">
        <v>88</v>
      </c>
      <c r="F19" s="68">
        <v>42</v>
      </c>
      <c r="G19" s="68">
        <v>92</v>
      </c>
      <c r="H19" s="68">
        <v>9</v>
      </c>
      <c r="I19" s="68">
        <v>90</v>
      </c>
      <c r="J19" s="68">
        <v>96</v>
      </c>
      <c r="K19" s="68">
        <v>28</v>
      </c>
      <c r="L19" s="68">
        <v>24</v>
      </c>
      <c r="M19" s="68">
        <v>24</v>
      </c>
    </row>
    <row r="20" spans="1:13" ht="15.75" customHeight="1">
      <c r="A20" s="81" t="s">
        <v>377</v>
      </c>
      <c r="B20" s="262">
        <v>450</v>
      </c>
      <c r="C20" s="68">
        <v>33</v>
      </c>
      <c r="D20" s="68">
        <v>34</v>
      </c>
      <c r="E20" s="68">
        <v>18</v>
      </c>
      <c r="F20" s="68">
        <v>17</v>
      </c>
      <c r="G20" s="68">
        <v>45</v>
      </c>
      <c r="H20" s="68">
        <v>4</v>
      </c>
      <c r="I20" s="68">
        <v>118</v>
      </c>
      <c r="J20" s="68">
        <v>115</v>
      </c>
      <c r="K20" s="68">
        <v>28</v>
      </c>
      <c r="L20" s="68">
        <v>20</v>
      </c>
      <c r="M20" s="68">
        <v>18</v>
      </c>
    </row>
    <row r="21" spans="1:13" ht="15.75" customHeight="1">
      <c r="A21" s="81" t="s">
        <v>378</v>
      </c>
      <c r="B21" s="262">
        <v>376</v>
      </c>
      <c r="C21" s="68">
        <v>49</v>
      </c>
      <c r="D21" s="68">
        <v>40</v>
      </c>
      <c r="E21" s="68">
        <v>34</v>
      </c>
      <c r="F21" s="68">
        <v>25</v>
      </c>
      <c r="G21" s="68">
        <v>69</v>
      </c>
      <c r="H21" s="68">
        <v>9</v>
      </c>
      <c r="I21" s="68">
        <v>35</v>
      </c>
      <c r="J21" s="68">
        <v>59</v>
      </c>
      <c r="K21" s="68">
        <v>23</v>
      </c>
      <c r="L21" s="68">
        <v>19</v>
      </c>
      <c r="M21" s="68">
        <v>14</v>
      </c>
    </row>
    <row r="22" spans="1:13" ht="15.75" customHeight="1">
      <c r="A22" s="81" t="s">
        <v>379</v>
      </c>
      <c r="B22" s="262">
        <v>186</v>
      </c>
      <c r="C22" s="68">
        <v>13</v>
      </c>
      <c r="D22" s="68">
        <v>22</v>
      </c>
      <c r="E22" s="68">
        <v>15</v>
      </c>
      <c r="F22" s="68">
        <v>18</v>
      </c>
      <c r="G22" s="68">
        <v>24</v>
      </c>
      <c r="H22" s="68">
        <v>4</v>
      </c>
      <c r="I22" s="68">
        <v>26</v>
      </c>
      <c r="J22" s="68">
        <v>28</v>
      </c>
      <c r="K22" s="68">
        <v>12</v>
      </c>
      <c r="L22" s="68">
        <v>19</v>
      </c>
      <c r="M22" s="68">
        <v>5</v>
      </c>
    </row>
    <row r="23" spans="1:13" ht="15.75" customHeight="1">
      <c r="A23" s="81" t="s">
        <v>380</v>
      </c>
      <c r="B23" s="262">
        <v>1454</v>
      </c>
      <c r="C23" s="68">
        <v>158</v>
      </c>
      <c r="D23" s="68">
        <v>212</v>
      </c>
      <c r="E23" s="68">
        <v>204</v>
      </c>
      <c r="F23" s="68">
        <v>138</v>
      </c>
      <c r="G23" s="68">
        <v>250</v>
      </c>
      <c r="H23" s="68">
        <v>13</v>
      </c>
      <c r="I23" s="68">
        <v>140</v>
      </c>
      <c r="J23" s="68">
        <v>153</v>
      </c>
      <c r="K23" s="68">
        <v>72</v>
      </c>
      <c r="L23" s="68">
        <v>81</v>
      </c>
      <c r="M23" s="68">
        <v>33</v>
      </c>
    </row>
    <row r="24" spans="1:13" ht="15.75" customHeight="1">
      <c r="A24" s="101" t="s">
        <v>381</v>
      </c>
      <c r="B24" s="261">
        <v>12557</v>
      </c>
      <c r="C24" s="98">
        <v>1953</v>
      </c>
      <c r="D24" s="98">
        <v>1799</v>
      </c>
      <c r="E24" s="98">
        <v>1371</v>
      </c>
      <c r="F24" s="98">
        <v>963</v>
      </c>
      <c r="G24" s="98">
        <v>1921</v>
      </c>
      <c r="H24" s="98">
        <v>142</v>
      </c>
      <c r="I24" s="98">
        <v>1403</v>
      </c>
      <c r="J24" s="98">
        <v>1372</v>
      </c>
      <c r="K24" s="98">
        <v>534</v>
      </c>
      <c r="L24" s="98">
        <v>751</v>
      </c>
      <c r="M24" s="98">
        <v>348</v>
      </c>
    </row>
    <row r="25" spans="1:13" ht="15.75" customHeight="1">
      <c r="A25" s="81" t="s">
        <v>382</v>
      </c>
      <c r="B25" s="262">
        <v>1424</v>
      </c>
      <c r="C25" s="68">
        <v>213</v>
      </c>
      <c r="D25" s="68">
        <v>233</v>
      </c>
      <c r="E25" s="68">
        <v>153</v>
      </c>
      <c r="F25" s="68">
        <v>91</v>
      </c>
      <c r="G25" s="68">
        <v>208</v>
      </c>
      <c r="H25" s="68">
        <v>15</v>
      </c>
      <c r="I25" s="68">
        <v>184</v>
      </c>
      <c r="J25" s="68">
        <v>166</v>
      </c>
      <c r="K25" s="68">
        <v>64</v>
      </c>
      <c r="L25" s="68">
        <v>68</v>
      </c>
      <c r="M25" s="68">
        <v>29</v>
      </c>
    </row>
    <row r="26" spans="1:13" ht="15.75" customHeight="1">
      <c r="A26" s="81" t="s">
        <v>383</v>
      </c>
      <c r="B26" s="262">
        <v>431</v>
      </c>
      <c r="C26" s="68">
        <v>48</v>
      </c>
      <c r="D26" s="68">
        <v>71</v>
      </c>
      <c r="E26" s="68">
        <v>38</v>
      </c>
      <c r="F26" s="68">
        <v>51</v>
      </c>
      <c r="G26" s="68">
        <v>46</v>
      </c>
      <c r="H26" s="68">
        <v>3</v>
      </c>
      <c r="I26" s="68">
        <v>64</v>
      </c>
      <c r="J26" s="68">
        <v>41</v>
      </c>
      <c r="K26" s="68">
        <v>14</v>
      </c>
      <c r="L26" s="68">
        <v>44</v>
      </c>
      <c r="M26" s="68">
        <v>11</v>
      </c>
    </row>
    <row r="27" spans="1:13" ht="15.75" customHeight="1">
      <c r="A27" s="81" t="s">
        <v>384</v>
      </c>
      <c r="B27" s="262">
        <v>512</v>
      </c>
      <c r="C27" s="68">
        <v>112</v>
      </c>
      <c r="D27" s="68">
        <v>101</v>
      </c>
      <c r="E27" s="68">
        <v>30</v>
      </c>
      <c r="F27" s="68">
        <v>68</v>
      </c>
      <c r="G27" s="68">
        <v>73</v>
      </c>
      <c r="H27" s="68">
        <v>5</v>
      </c>
      <c r="I27" s="68">
        <v>37</v>
      </c>
      <c r="J27" s="68">
        <v>45</v>
      </c>
      <c r="K27" s="68">
        <v>14</v>
      </c>
      <c r="L27" s="68">
        <v>19</v>
      </c>
      <c r="M27" s="68">
        <v>8</v>
      </c>
    </row>
    <row r="28" spans="1:13" ht="15.75" customHeight="1">
      <c r="A28" s="81" t="s">
        <v>385</v>
      </c>
      <c r="B28" s="262">
        <v>104</v>
      </c>
      <c r="C28" s="68">
        <v>19</v>
      </c>
      <c r="D28" s="68">
        <v>21</v>
      </c>
      <c r="E28" s="68">
        <v>8</v>
      </c>
      <c r="F28" s="68">
        <v>7</v>
      </c>
      <c r="G28" s="68">
        <v>15</v>
      </c>
      <c r="H28" s="68">
        <v>1</v>
      </c>
      <c r="I28" s="68">
        <v>13</v>
      </c>
      <c r="J28" s="68">
        <v>6</v>
      </c>
      <c r="K28" s="68">
        <v>2</v>
      </c>
      <c r="L28" s="68">
        <v>8</v>
      </c>
      <c r="M28" s="68">
        <v>4</v>
      </c>
    </row>
    <row r="29" spans="1:13" ht="15.75" customHeight="1">
      <c r="A29" s="81" t="s">
        <v>386</v>
      </c>
      <c r="B29" s="262">
        <v>57</v>
      </c>
      <c r="C29" s="68">
        <v>10</v>
      </c>
      <c r="D29" s="68">
        <v>4</v>
      </c>
      <c r="E29" s="68">
        <v>12</v>
      </c>
      <c r="F29" s="68">
        <v>6</v>
      </c>
      <c r="G29" s="68">
        <v>8</v>
      </c>
      <c r="H29" s="68">
        <v>1</v>
      </c>
      <c r="I29" s="68">
        <v>5</v>
      </c>
      <c r="J29" s="68">
        <v>6</v>
      </c>
      <c r="K29" s="68">
        <v>3</v>
      </c>
      <c r="L29" s="68">
        <v>2</v>
      </c>
      <c r="M29" s="68">
        <v>0</v>
      </c>
    </row>
    <row r="30" spans="1:13" ht="15.75" customHeight="1">
      <c r="A30" s="81" t="s">
        <v>387</v>
      </c>
      <c r="B30" s="262">
        <v>252</v>
      </c>
      <c r="C30" s="68">
        <v>41</v>
      </c>
      <c r="D30" s="68">
        <v>27</v>
      </c>
      <c r="E30" s="68">
        <v>31</v>
      </c>
      <c r="F30" s="68">
        <v>20</v>
      </c>
      <c r="G30" s="68">
        <v>37</v>
      </c>
      <c r="H30" s="68">
        <v>3</v>
      </c>
      <c r="I30" s="68">
        <v>31</v>
      </c>
      <c r="J30" s="68">
        <v>23</v>
      </c>
      <c r="K30" s="68">
        <v>15</v>
      </c>
      <c r="L30" s="68">
        <v>19</v>
      </c>
      <c r="M30" s="68">
        <v>5</v>
      </c>
    </row>
    <row r="31" spans="1:13" ht="15.75" customHeight="1">
      <c r="A31" s="81" t="s">
        <v>388</v>
      </c>
      <c r="B31" s="262">
        <v>1513</v>
      </c>
      <c r="C31" s="68">
        <v>273</v>
      </c>
      <c r="D31" s="68">
        <v>222</v>
      </c>
      <c r="E31" s="68">
        <v>174</v>
      </c>
      <c r="F31" s="68">
        <v>133</v>
      </c>
      <c r="G31" s="68">
        <v>213</v>
      </c>
      <c r="H31" s="68">
        <v>6</v>
      </c>
      <c r="I31" s="68">
        <v>130</v>
      </c>
      <c r="J31" s="68">
        <v>145</v>
      </c>
      <c r="K31" s="68">
        <v>91</v>
      </c>
      <c r="L31" s="68">
        <v>92</v>
      </c>
      <c r="M31" s="68">
        <v>34</v>
      </c>
    </row>
    <row r="32" spans="1:13" ht="15.75" customHeight="1">
      <c r="A32" s="81" t="s">
        <v>389</v>
      </c>
      <c r="B32" s="262">
        <v>102</v>
      </c>
      <c r="C32" s="68">
        <v>19</v>
      </c>
      <c r="D32" s="68">
        <v>15</v>
      </c>
      <c r="E32" s="68">
        <v>13</v>
      </c>
      <c r="F32" s="68">
        <v>6</v>
      </c>
      <c r="G32" s="68">
        <v>23</v>
      </c>
      <c r="H32" s="68">
        <v>0</v>
      </c>
      <c r="I32" s="68">
        <v>7</v>
      </c>
      <c r="J32" s="68">
        <v>7</v>
      </c>
      <c r="K32" s="68">
        <v>3</v>
      </c>
      <c r="L32" s="68">
        <v>6</v>
      </c>
      <c r="M32" s="68">
        <v>3</v>
      </c>
    </row>
    <row r="33" spans="1:13" ht="15.75" customHeight="1">
      <c r="A33" s="81" t="s">
        <v>390</v>
      </c>
      <c r="B33" s="262">
        <v>1496</v>
      </c>
      <c r="C33" s="68">
        <v>294</v>
      </c>
      <c r="D33" s="68">
        <v>203</v>
      </c>
      <c r="E33" s="68">
        <v>165</v>
      </c>
      <c r="F33" s="68">
        <v>110</v>
      </c>
      <c r="G33" s="68">
        <v>241</v>
      </c>
      <c r="H33" s="68">
        <v>13</v>
      </c>
      <c r="I33" s="68">
        <v>137</v>
      </c>
      <c r="J33" s="68">
        <v>157</v>
      </c>
      <c r="K33" s="68">
        <v>51</v>
      </c>
      <c r="L33" s="68">
        <v>96</v>
      </c>
      <c r="M33" s="68">
        <v>29</v>
      </c>
    </row>
    <row r="34" spans="1:13" ht="15.75" customHeight="1">
      <c r="A34" s="81" t="s">
        <v>391</v>
      </c>
      <c r="B34" s="262">
        <v>381</v>
      </c>
      <c r="C34" s="68">
        <v>85</v>
      </c>
      <c r="D34" s="68">
        <v>52</v>
      </c>
      <c r="E34" s="68">
        <v>20</v>
      </c>
      <c r="F34" s="68">
        <v>25</v>
      </c>
      <c r="G34" s="68">
        <v>73</v>
      </c>
      <c r="H34" s="68">
        <v>4</v>
      </c>
      <c r="I34" s="68">
        <v>38</v>
      </c>
      <c r="J34" s="68">
        <v>30</v>
      </c>
      <c r="K34" s="68">
        <v>13</v>
      </c>
      <c r="L34" s="68">
        <v>27</v>
      </c>
      <c r="M34" s="68">
        <v>14</v>
      </c>
    </row>
    <row r="35" spans="1:13" ht="15.75" customHeight="1">
      <c r="A35" s="81" t="s">
        <v>392</v>
      </c>
      <c r="B35" s="262">
        <v>456</v>
      </c>
      <c r="C35" s="68">
        <v>71</v>
      </c>
      <c r="D35" s="68">
        <v>73</v>
      </c>
      <c r="E35" s="68">
        <v>47</v>
      </c>
      <c r="F35" s="68">
        <v>36</v>
      </c>
      <c r="G35" s="68">
        <v>69</v>
      </c>
      <c r="H35" s="68">
        <v>10</v>
      </c>
      <c r="I35" s="68">
        <v>51</v>
      </c>
      <c r="J35" s="68">
        <v>52</v>
      </c>
      <c r="K35" s="68">
        <v>13</v>
      </c>
      <c r="L35" s="68">
        <v>24</v>
      </c>
      <c r="M35" s="68">
        <v>10</v>
      </c>
    </row>
    <row r="36" spans="1:13" ht="15.75" customHeight="1">
      <c r="A36" s="81" t="s">
        <v>393</v>
      </c>
      <c r="B36" s="262">
        <v>209</v>
      </c>
      <c r="C36" s="68">
        <v>34</v>
      </c>
      <c r="D36" s="68">
        <v>38</v>
      </c>
      <c r="E36" s="68">
        <v>13</v>
      </c>
      <c r="F36" s="68">
        <v>9</v>
      </c>
      <c r="G36" s="68">
        <v>40</v>
      </c>
      <c r="H36" s="68">
        <v>6</v>
      </c>
      <c r="I36" s="68">
        <v>23</v>
      </c>
      <c r="J36" s="68">
        <v>26</v>
      </c>
      <c r="K36" s="68">
        <v>9</v>
      </c>
      <c r="L36" s="68">
        <v>6</v>
      </c>
      <c r="M36" s="68">
        <v>5</v>
      </c>
    </row>
    <row r="37" spans="1:13" ht="15.75" customHeight="1">
      <c r="A37" s="81" t="s">
        <v>394</v>
      </c>
      <c r="B37" s="262">
        <v>880</v>
      </c>
      <c r="C37" s="68">
        <v>129</v>
      </c>
      <c r="D37" s="68">
        <v>124</v>
      </c>
      <c r="E37" s="68">
        <v>80</v>
      </c>
      <c r="F37" s="68">
        <v>42</v>
      </c>
      <c r="G37" s="68">
        <v>129</v>
      </c>
      <c r="H37" s="68">
        <v>9</v>
      </c>
      <c r="I37" s="68">
        <v>156</v>
      </c>
      <c r="J37" s="68">
        <v>124</v>
      </c>
      <c r="K37" s="68">
        <v>37</v>
      </c>
      <c r="L37" s="68">
        <v>34</v>
      </c>
      <c r="M37" s="68">
        <v>16</v>
      </c>
    </row>
    <row r="38" spans="1:13" ht="15.75" customHeight="1">
      <c r="A38" s="81" t="s">
        <v>395</v>
      </c>
      <c r="B38" s="262">
        <v>1469</v>
      </c>
      <c r="C38" s="68">
        <v>172</v>
      </c>
      <c r="D38" s="68">
        <v>199</v>
      </c>
      <c r="E38" s="68">
        <v>180</v>
      </c>
      <c r="F38" s="68">
        <v>158</v>
      </c>
      <c r="G38" s="68">
        <v>230</v>
      </c>
      <c r="H38" s="68">
        <v>15</v>
      </c>
      <c r="I38" s="68">
        <v>165</v>
      </c>
      <c r="J38" s="68">
        <v>154</v>
      </c>
      <c r="K38" s="68">
        <v>55</v>
      </c>
      <c r="L38" s="68">
        <v>101</v>
      </c>
      <c r="M38" s="68">
        <v>40</v>
      </c>
    </row>
    <row r="39" spans="1:13" ht="15.75" customHeight="1">
      <c r="A39" s="81" t="s">
        <v>396</v>
      </c>
      <c r="B39" s="262">
        <v>744</v>
      </c>
      <c r="C39" s="68">
        <v>91</v>
      </c>
      <c r="D39" s="68">
        <v>82</v>
      </c>
      <c r="E39" s="68">
        <v>86</v>
      </c>
      <c r="F39" s="68">
        <v>50</v>
      </c>
      <c r="G39" s="68">
        <v>114</v>
      </c>
      <c r="H39" s="68">
        <v>19</v>
      </c>
      <c r="I39" s="68">
        <v>77</v>
      </c>
      <c r="J39" s="68">
        <v>96</v>
      </c>
      <c r="K39" s="68">
        <v>38</v>
      </c>
      <c r="L39" s="68">
        <v>52</v>
      </c>
      <c r="M39" s="68">
        <v>39</v>
      </c>
    </row>
    <row r="40" spans="1:13" ht="15.75" customHeight="1">
      <c r="A40" s="81" t="s">
        <v>397</v>
      </c>
      <c r="B40" s="262">
        <v>658</v>
      </c>
      <c r="C40" s="68">
        <v>90</v>
      </c>
      <c r="D40" s="68">
        <v>86</v>
      </c>
      <c r="E40" s="68">
        <v>90</v>
      </c>
      <c r="F40" s="68">
        <v>40</v>
      </c>
      <c r="G40" s="68">
        <v>100</v>
      </c>
      <c r="H40" s="68">
        <v>8</v>
      </c>
      <c r="I40" s="68">
        <v>73</v>
      </c>
      <c r="J40" s="68">
        <v>82</v>
      </c>
      <c r="K40" s="68">
        <v>24</v>
      </c>
      <c r="L40" s="68">
        <v>40</v>
      </c>
      <c r="M40" s="68">
        <v>25</v>
      </c>
    </row>
    <row r="41" spans="1:13" ht="15.75" customHeight="1">
      <c r="A41" s="81" t="s">
        <v>398</v>
      </c>
      <c r="B41" s="262">
        <v>916</v>
      </c>
      <c r="C41" s="68">
        <v>109</v>
      </c>
      <c r="D41" s="68">
        <v>119</v>
      </c>
      <c r="E41" s="68">
        <v>109</v>
      </c>
      <c r="F41" s="68">
        <v>46</v>
      </c>
      <c r="G41" s="68">
        <v>153</v>
      </c>
      <c r="H41" s="68">
        <v>9</v>
      </c>
      <c r="I41" s="68">
        <v>115</v>
      </c>
      <c r="J41" s="68">
        <v>124</v>
      </c>
      <c r="K41" s="68">
        <v>41</v>
      </c>
      <c r="L41" s="68">
        <v>61</v>
      </c>
      <c r="M41" s="68">
        <v>30</v>
      </c>
    </row>
    <row r="42" spans="1:13" ht="15.75" customHeight="1">
      <c r="A42" s="81" t="s">
        <v>399</v>
      </c>
      <c r="B42" s="262">
        <v>342</v>
      </c>
      <c r="C42" s="68">
        <v>52</v>
      </c>
      <c r="D42" s="68">
        <v>42</v>
      </c>
      <c r="E42" s="68">
        <v>33</v>
      </c>
      <c r="F42" s="68">
        <v>24</v>
      </c>
      <c r="G42" s="68">
        <v>63</v>
      </c>
      <c r="H42" s="68">
        <v>8</v>
      </c>
      <c r="I42" s="68">
        <v>26</v>
      </c>
      <c r="J42" s="68">
        <v>41</v>
      </c>
      <c r="K42" s="68">
        <v>17</v>
      </c>
      <c r="L42" s="68">
        <v>25</v>
      </c>
      <c r="M42" s="68">
        <v>11</v>
      </c>
    </row>
    <row r="43" spans="1:13" ht="15.75" customHeight="1">
      <c r="A43" s="81" t="s">
        <v>400</v>
      </c>
      <c r="B43" s="262">
        <v>457</v>
      </c>
      <c r="C43" s="68">
        <v>65</v>
      </c>
      <c r="D43" s="68">
        <v>70</v>
      </c>
      <c r="E43" s="68">
        <v>70</v>
      </c>
      <c r="F43" s="68">
        <v>33</v>
      </c>
      <c r="G43" s="68">
        <v>60</v>
      </c>
      <c r="H43" s="68">
        <v>6</v>
      </c>
      <c r="I43" s="68">
        <v>49</v>
      </c>
      <c r="J43" s="68">
        <v>30</v>
      </c>
      <c r="K43" s="68">
        <v>25</v>
      </c>
      <c r="L43" s="68">
        <v>19</v>
      </c>
      <c r="M43" s="68">
        <v>30</v>
      </c>
    </row>
    <row r="44" spans="1:13" ht="15.75" customHeight="1">
      <c r="A44" s="81" t="s">
        <v>401</v>
      </c>
      <c r="B44" s="262">
        <v>145</v>
      </c>
      <c r="C44" s="68">
        <v>26</v>
      </c>
      <c r="D44" s="68">
        <v>17</v>
      </c>
      <c r="E44" s="68">
        <v>19</v>
      </c>
      <c r="F44" s="68">
        <v>7</v>
      </c>
      <c r="G44" s="68">
        <v>26</v>
      </c>
      <c r="H44" s="68">
        <v>1</v>
      </c>
      <c r="I44" s="68">
        <v>22</v>
      </c>
      <c r="J44" s="68">
        <v>12</v>
      </c>
      <c r="K44" s="68">
        <v>5</v>
      </c>
      <c r="L44" s="68">
        <v>5</v>
      </c>
      <c r="M44" s="68">
        <v>5</v>
      </c>
    </row>
    <row r="45" spans="1:13" ht="15.75" customHeight="1" thickBot="1">
      <c r="A45" s="82" t="s">
        <v>402</v>
      </c>
      <c r="B45" s="263">
        <v>9</v>
      </c>
      <c r="C45" s="83">
        <v>0</v>
      </c>
      <c r="D45" s="83">
        <v>0</v>
      </c>
      <c r="E45" s="83">
        <v>0</v>
      </c>
      <c r="F45" s="83">
        <v>1</v>
      </c>
      <c r="G45" s="83">
        <v>0</v>
      </c>
      <c r="H45" s="83">
        <v>0</v>
      </c>
      <c r="I45" s="83">
        <v>0</v>
      </c>
      <c r="J45" s="83">
        <v>5</v>
      </c>
      <c r="K45" s="83">
        <v>0</v>
      </c>
      <c r="L45" s="83">
        <v>3</v>
      </c>
      <c r="M45" s="83">
        <v>0</v>
      </c>
    </row>
    <row r="46" spans="1:13" ht="15.75" customHeight="1">
      <c r="A46" s="391" t="s">
        <v>635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</row>
  </sheetData>
  <sheetProtection/>
  <mergeCells count="5">
    <mergeCell ref="A1:M1"/>
    <mergeCell ref="A2:M2"/>
    <mergeCell ref="A3:M3"/>
    <mergeCell ref="C4:M4"/>
    <mergeCell ref="A46:M46"/>
  </mergeCells>
  <printOptions/>
  <pageMargins left="0.7" right="0.7" top="0.787401575" bottom="0.7874015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zoomScale="85" zoomScaleNormal="85" zoomScalePageLayoutView="0" workbookViewId="0" topLeftCell="A1">
      <selection activeCell="M43" sqref="M43"/>
    </sheetView>
  </sheetViews>
  <sheetFormatPr defaultColWidth="11.421875" defaultRowHeight="12.75"/>
  <cols>
    <col min="1" max="1" width="54.7109375" style="149" customWidth="1"/>
    <col min="2" max="2" width="7.7109375" style="149" bestFit="1" customWidth="1"/>
    <col min="3" max="3" width="7.8515625" style="149" bestFit="1" customWidth="1"/>
    <col min="4" max="4" width="8.8515625" style="149" bestFit="1" customWidth="1"/>
    <col min="5" max="5" width="9.28125" style="149" bestFit="1" customWidth="1"/>
    <col min="6" max="6" width="7.8515625" style="149" bestFit="1" customWidth="1"/>
    <col min="7" max="7" width="8.8515625" style="149" bestFit="1" customWidth="1"/>
    <col min="8" max="8" width="9.28125" style="149" bestFit="1" customWidth="1"/>
    <col min="9" max="16384" width="11.421875" style="149" customWidth="1"/>
  </cols>
  <sheetData>
    <row r="1" spans="1:8" ht="18" customHeight="1">
      <c r="A1" s="407" t="s">
        <v>408</v>
      </c>
      <c r="B1" s="407"/>
      <c r="C1" s="407"/>
      <c r="D1" s="407"/>
      <c r="E1" s="407"/>
      <c r="F1" s="407"/>
      <c r="G1" s="407"/>
      <c r="H1" s="407"/>
    </row>
    <row r="2" spans="1:8" s="41" customFormat="1" ht="15.75" customHeight="1">
      <c r="A2" s="416" t="s">
        <v>528</v>
      </c>
      <c r="B2" s="416"/>
      <c r="C2" s="416"/>
      <c r="D2" s="416"/>
      <c r="E2" s="416"/>
      <c r="F2" s="416"/>
      <c r="G2" s="416"/>
      <c r="H2" s="416"/>
    </row>
    <row r="3" spans="1:8" s="41" customFormat="1" ht="15.75" customHeight="1" thickBot="1">
      <c r="A3" s="405" t="s">
        <v>442</v>
      </c>
      <c r="B3" s="405"/>
      <c r="C3" s="405"/>
      <c r="D3" s="405"/>
      <c r="E3" s="405"/>
      <c r="F3" s="405"/>
      <c r="G3" s="405"/>
      <c r="H3" s="405"/>
    </row>
    <row r="4" spans="1:8" s="41" customFormat="1" ht="15.75" customHeight="1">
      <c r="A4" s="161"/>
      <c r="B4" s="333" t="s">
        <v>134</v>
      </c>
      <c r="C4" s="411" t="s">
        <v>409</v>
      </c>
      <c r="D4" s="411"/>
      <c r="E4" s="411"/>
      <c r="F4" s="411"/>
      <c r="G4" s="411"/>
      <c r="H4" s="411"/>
    </row>
    <row r="5" spans="1:8" s="41" customFormat="1" ht="15.75" customHeight="1">
      <c r="A5" s="161"/>
      <c r="B5" s="340"/>
      <c r="C5" s="422" t="s">
        <v>74</v>
      </c>
      <c r="D5" s="422"/>
      <c r="E5" s="422"/>
      <c r="F5" s="422" t="s">
        <v>76</v>
      </c>
      <c r="G5" s="422"/>
      <c r="H5" s="422"/>
    </row>
    <row r="6" spans="1:8" s="41" customFormat="1" ht="15.75" customHeight="1">
      <c r="A6" s="161"/>
      <c r="B6" s="334"/>
      <c r="C6" s="335" t="s">
        <v>134</v>
      </c>
      <c r="D6" s="335" t="s">
        <v>22</v>
      </c>
      <c r="E6" s="335" t="s">
        <v>21</v>
      </c>
      <c r="F6" s="335" t="s">
        <v>134</v>
      </c>
      <c r="G6" s="335" t="s">
        <v>22</v>
      </c>
      <c r="H6" s="335" t="s">
        <v>21</v>
      </c>
    </row>
    <row r="7" spans="1:8" s="41" customFormat="1" ht="15.75" customHeight="1">
      <c r="A7" s="179" t="s">
        <v>134</v>
      </c>
      <c r="B7" s="276">
        <v>17669</v>
      </c>
      <c r="C7" s="173">
        <v>11221</v>
      </c>
      <c r="D7" s="173">
        <v>5102</v>
      </c>
      <c r="E7" s="173">
        <v>6119</v>
      </c>
      <c r="F7" s="173">
        <v>6448</v>
      </c>
      <c r="G7" s="173">
        <v>3017</v>
      </c>
      <c r="H7" s="173">
        <v>3431</v>
      </c>
    </row>
    <row r="8" spans="1:8" s="41" customFormat="1" ht="15.75" customHeight="1">
      <c r="A8" s="93" t="s">
        <v>364</v>
      </c>
      <c r="B8" s="276">
        <v>181</v>
      </c>
      <c r="C8" s="98">
        <v>147</v>
      </c>
      <c r="D8" s="98">
        <v>25</v>
      </c>
      <c r="E8" s="98">
        <v>122</v>
      </c>
      <c r="F8" s="98">
        <v>34</v>
      </c>
      <c r="G8" s="98">
        <v>14</v>
      </c>
      <c r="H8" s="98">
        <v>20</v>
      </c>
    </row>
    <row r="9" spans="1:8" s="41" customFormat="1" ht="15.75" customHeight="1">
      <c r="A9" s="67" t="s">
        <v>365</v>
      </c>
      <c r="B9" s="277">
        <v>181</v>
      </c>
      <c r="C9" s="68">
        <v>147</v>
      </c>
      <c r="D9" s="68">
        <v>25</v>
      </c>
      <c r="E9" s="68">
        <v>122</v>
      </c>
      <c r="F9" s="68">
        <v>34</v>
      </c>
      <c r="G9" s="68">
        <v>14</v>
      </c>
      <c r="H9" s="68">
        <v>20</v>
      </c>
    </row>
    <row r="10" spans="1:8" s="41" customFormat="1" ht="15.75" customHeight="1">
      <c r="A10" s="93" t="s">
        <v>366</v>
      </c>
      <c r="B10" s="276">
        <v>4931</v>
      </c>
      <c r="C10" s="98">
        <v>2714</v>
      </c>
      <c r="D10" s="98">
        <v>693</v>
      </c>
      <c r="E10" s="98">
        <v>2021</v>
      </c>
      <c r="F10" s="98">
        <v>2217</v>
      </c>
      <c r="G10" s="98">
        <v>622</v>
      </c>
      <c r="H10" s="98">
        <v>1595</v>
      </c>
    </row>
    <row r="11" spans="1:8" s="41" customFormat="1" ht="15.75" customHeight="1">
      <c r="A11" s="67" t="s">
        <v>367</v>
      </c>
      <c r="B11" s="277">
        <v>24</v>
      </c>
      <c r="C11" s="68">
        <v>18</v>
      </c>
      <c r="D11" s="68">
        <v>4</v>
      </c>
      <c r="E11" s="68">
        <v>14</v>
      </c>
      <c r="F11" s="68">
        <v>6</v>
      </c>
      <c r="G11" s="68">
        <v>0</v>
      </c>
      <c r="H11" s="68">
        <v>6</v>
      </c>
    </row>
    <row r="12" spans="1:8" s="41" customFormat="1" ht="15.75" customHeight="1">
      <c r="A12" s="67" t="s">
        <v>368</v>
      </c>
      <c r="B12" s="277">
        <v>461</v>
      </c>
      <c r="C12" s="68">
        <v>128</v>
      </c>
      <c r="D12" s="68">
        <v>54</v>
      </c>
      <c r="E12" s="68">
        <v>74</v>
      </c>
      <c r="F12" s="68">
        <v>333</v>
      </c>
      <c r="G12" s="68">
        <v>113</v>
      </c>
      <c r="H12" s="68">
        <v>220</v>
      </c>
    </row>
    <row r="13" spans="1:8" s="41" customFormat="1" ht="15.75" customHeight="1">
      <c r="A13" s="67" t="s">
        <v>369</v>
      </c>
      <c r="B13" s="277">
        <v>55</v>
      </c>
      <c r="C13" s="68">
        <v>32</v>
      </c>
      <c r="D13" s="68">
        <v>25</v>
      </c>
      <c r="E13" s="68">
        <v>7</v>
      </c>
      <c r="F13" s="68">
        <v>23</v>
      </c>
      <c r="G13" s="68">
        <v>19</v>
      </c>
      <c r="H13" s="68">
        <v>4</v>
      </c>
    </row>
    <row r="14" spans="1:8" s="41" customFormat="1" ht="15.75" customHeight="1">
      <c r="A14" s="67" t="s">
        <v>370</v>
      </c>
      <c r="B14" s="277">
        <v>232</v>
      </c>
      <c r="C14" s="68">
        <v>174</v>
      </c>
      <c r="D14" s="68">
        <v>40</v>
      </c>
      <c r="E14" s="68">
        <v>134</v>
      </c>
      <c r="F14" s="68">
        <v>58</v>
      </c>
      <c r="G14" s="68">
        <v>13</v>
      </c>
      <c r="H14" s="68">
        <v>45</v>
      </c>
    </row>
    <row r="15" spans="1:8" s="41" customFormat="1" ht="15.75" customHeight="1">
      <c r="A15" s="67" t="s">
        <v>371</v>
      </c>
      <c r="B15" s="277">
        <v>24</v>
      </c>
      <c r="C15" s="68">
        <v>15</v>
      </c>
      <c r="D15" s="68">
        <v>5</v>
      </c>
      <c r="E15" s="68">
        <v>10</v>
      </c>
      <c r="F15" s="68">
        <v>9</v>
      </c>
      <c r="G15" s="68">
        <v>2</v>
      </c>
      <c r="H15" s="68">
        <v>7</v>
      </c>
    </row>
    <row r="16" spans="1:8" s="41" customFormat="1" ht="15.75" customHeight="1">
      <c r="A16" s="67" t="s">
        <v>372</v>
      </c>
      <c r="B16" s="277">
        <v>213</v>
      </c>
      <c r="C16" s="68">
        <v>89</v>
      </c>
      <c r="D16" s="68">
        <v>40</v>
      </c>
      <c r="E16" s="68">
        <v>49</v>
      </c>
      <c r="F16" s="68">
        <v>124</v>
      </c>
      <c r="G16" s="68">
        <v>72</v>
      </c>
      <c r="H16" s="68">
        <v>52</v>
      </c>
    </row>
    <row r="17" spans="1:8" s="41" customFormat="1" ht="15.75" customHeight="1">
      <c r="A17" s="67" t="s">
        <v>373</v>
      </c>
      <c r="B17" s="277">
        <v>507</v>
      </c>
      <c r="C17" s="68">
        <v>320</v>
      </c>
      <c r="D17" s="68">
        <v>62</v>
      </c>
      <c r="E17" s="68">
        <v>258</v>
      </c>
      <c r="F17" s="68">
        <v>187</v>
      </c>
      <c r="G17" s="68">
        <v>48</v>
      </c>
      <c r="H17" s="68">
        <v>139</v>
      </c>
    </row>
    <row r="18" spans="1:8" s="41" customFormat="1" ht="15.75" customHeight="1">
      <c r="A18" s="67" t="s">
        <v>374</v>
      </c>
      <c r="B18" s="277">
        <v>212</v>
      </c>
      <c r="C18" s="68">
        <v>133</v>
      </c>
      <c r="D18" s="68">
        <v>44</v>
      </c>
      <c r="E18" s="68">
        <v>89</v>
      </c>
      <c r="F18" s="68">
        <v>79</v>
      </c>
      <c r="G18" s="68">
        <v>26</v>
      </c>
      <c r="H18" s="68">
        <v>53</v>
      </c>
    </row>
    <row r="19" spans="1:8" s="41" customFormat="1" ht="15.75" customHeight="1">
      <c r="A19" s="67" t="s">
        <v>375</v>
      </c>
      <c r="B19" s="277">
        <v>113</v>
      </c>
      <c r="C19" s="68">
        <v>61</v>
      </c>
      <c r="D19" s="68">
        <v>27</v>
      </c>
      <c r="E19" s="68">
        <v>34</v>
      </c>
      <c r="F19" s="68">
        <v>52</v>
      </c>
      <c r="G19" s="68">
        <v>29</v>
      </c>
      <c r="H19" s="68">
        <v>23</v>
      </c>
    </row>
    <row r="20" spans="1:8" s="41" customFormat="1" ht="15.75" customHeight="1">
      <c r="A20" s="67" t="s">
        <v>376</v>
      </c>
      <c r="B20" s="277">
        <v>624</v>
      </c>
      <c r="C20" s="68">
        <v>359</v>
      </c>
      <c r="D20" s="68">
        <v>84</v>
      </c>
      <c r="E20" s="68">
        <v>275</v>
      </c>
      <c r="F20" s="68">
        <v>265</v>
      </c>
      <c r="G20" s="68">
        <v>100</v>
      </c>
      <c r="H20" s="68">
        <v>165</v>
      </c>
    </row>
    <row r="21" spans="1:8" s="41" customFormat="1" ht="15.75" customHeight="1">
      <c r="A21" s="67" t="s">
        <v>377</v>
      </c>
      <c r="B21" s="277">
        <v>450</v>
      </c>
      <c r="C21" s="68">
        <v>215</v>
      </c>
      <c r="D21" s="68">
        <v>53</v>
      </c>
      <c r="E21" s="68">
        <v>162</v>
      </c>
      <c r="F21" s="68">
        <v>235</v>
      </c>
      <c r="G21" s="68">
        <v>60</v>
      </c>
      <c r="H21" s="68">
        <v>175</v>
      </c>
    </row>
    <row r="22" spans="1:8" s="41" customFormat="1" ht="15.75" customHeight="1">
      <c r="A22" s="67" t="s">
        <v>378</v>
      </c>
      <c r="B22" s="277">
        <v>376</v>
      </c>
      <c r="C22" s="68">
        <v>225</v>
      </c>
      <c r="D22" s="68">
        <v>106</v>
      </c>
      <c r="E22" s="68">
        <v>119</v>
      </c>
      <c r="F22" s="68">
        <v>151</v>
      </c>
      <c r="G22" s="68">
        <v>77</v>
      </c>
      <c r="H22" s="68">
        <v>74</v>
      </c>
    </row>
    <row r="23" spans="1:8" s="41" customFormat="1" ht="15.75" customHeight="1">
      <c r="A23" s="67" t="s">
        <v>379</v>
      </c>
      <c r="B23" s="277">
        <v>186</v>
      </c>
      <c r="C23" s="68">
        <v>145</v>
      </c>
      <c r="D23" s="68">
        <v>25</v>
      </c>
      <c r="E23" s="68">
        <v>120</v>
      </c>
      <c r="F23" s="68">
        <v>41</v>
      </c>
      <c r="G23" s="68">
        <v>7</v>
      </c>
      <c r="H23" s="68">
        <v>34</v>
      </c>
    </row>
    <row r="24" spans="1:8" s="41" customFormat="1" ht="15.75" customHeight="1">
      <c r="A24" s="67" t="s">
        <v>380</v>
      </c>
      <c r="B24" s="277">
        <v>1454</v>
      </c>
      <c r="C24" s="68">
        <v>800</v>
      </c>
      <c r="D24" s="68">
        <v>124</v>
      </c>
      <c r="E24" s="68">
        <v>676</v>
      </c>
      <c r="F24" s="68">
        <v>654</v>
      </c>
      <c r="G24" s="68">
        <v>56</v>
      </c>
      <c r="H24" s="68">
        <v>598</v>
      </c>
    </row>
    <row r="25" spans="1:8" s="41" customFormat="1" ht="15.75" customHeight="1">
      <c r="A25" s="93" t="s">
        <v>381</v>
      </c>
      <c r="B25" s="276">
        <v>12557</v>
      </c>
      <c r="C25" s="98">
        <v>8360</v>
      </c>
      <c r="D25" s="98">
        <v>4384</v>
      </c>
      <c r="E25" s="98">
        <v>3976</v>
      </c>
      <c r="F25" s="98">
        <v>4197</v>
      </c>
      <c r="G25" s="98">
        <v>2381</v>
      </c>
      <c r="H25" s="98">
        <v>1816</v>
      </c>
    </row>
    <row r="26" spans="1:8" s="41" customFormat="1" ht="15.75" customHeight="1">
      <c r="A26" s="67" t="s">
        <v>382</v>
      </c>
      <c r="B26" s="277">
        <v>1424</v>
      </c>
      <c r="C26" s="68">
        <v>906</v>
      </c>
      <c r="D26" s="68">
        <v>448</v>
      </c>
      <c r="E26" s="68">
        <v>458</v>
      </c>
      <c r="F26" s="68">
        <v>518</v>
      </c>
      <c r="G26" s="68">
        <v>286</v>
      </c>
      <c r="H26" s="68">
        <v>232</v>
      </c>
    </row>
    <row r="27" spans="1:8" s="41" customFormat="1" ht="15.75" customHeight="1">
      <c r="A27" s="67" t="s">
        <v>383</v>
      </c>
      <c r="B27" s="277">
        <v>431</v>
      </c>
      <c r="C27" s="68">
        <v>277</v>
      </c>
      <c r="D27" s="68">
        <v>96</v>
      </c>
      <c r="E27" s="68">
        <v>181</v>
      </c>
      <c r="F27" s="68">
        <v>154</v>
      </c>
      <c r="G27" s="68">
        <v>48</v>
      </c>
      <c r="H27" s="68">
        <v>106</v>
      </c>
    </row>
    <row r="28" spans="1:8" s="41" customFormat="1" ht="15.75" customHeight="1">
      <c r="A28" s="67" t="s">
        <v>384</v>
      </c>
      <c r="B28" s="277">
        <v>512</v>
      </c>
      <c r="C28" s="68">
        <v>232</v>
      </c>
      <c r="D28" s="68">
        <v>144</v>
      </c>
      <c r="E28" s="68">
        <v>88</v>
      </c>
      <c r="F28" s="68">
        <v>280</v>
      </c>
      <c r="G28" s="68">
        <v>185</v>
      </c>
      <c r="H28" s="68">
        <v>95</v>
      </c>
    </row>
    <row r="29" spans="1:8" s="41" customFormat="1" ht="15.75" customHeight="1">
      <c r="A29" s="67" t="s">
        <v>385</v>
      </c>
      <c r="B29" s="277">
        <v>104</v>
      </c>
      <c r="C29" s="68">
        <v>77</v>
      </c>
      <c r="D29" s="68">
        <v>34</v>
      </c>
      <c r="E29" s="68">
        <v>43</v>
      </c>
      <c r="F29" s="68">
        <v>27</v>
      </c>
      <c r="G29" s="68">
        <v>11</v>
      </c>
      <c r="H29" s="68">
        <v>16</v>
      </c>
    </row>
    <row r="30" spans="1:8" s="41" customFormat="1" ht="15.75" customHeight="1">
      <c r="A30" s="67" t="s">
        <v>386</v>
      </c>
      <c r="B30" s="277">
        <v>57</v>
      </c>
      <c r="C30" s="68">
        <v>40</v>
      </c>
      <c r="D30" s="68">
        <v>11</v>
      </c>
      <c r="E30" s="68">
        <v>29</v>
      </c>
      <c r="F30" s="68">
        <v>17</v>
      </c>
      <c r="G30" s="68">
        <v>2</v>
      </c>
      <c r="H30" s="68">
        <v>15</v>
      </c>
    </row>
    <row r="31" spans="1:8" s="41" customFormat="1" ht="15.75" customHeight="1">
      <c r="A31" s="67" t="s">
        <v>387</v>
      </c>
      <c r="B31" s="277">
        <v>252</v>
      </c>
      <c r="C31" s="68">
        <v>169</v>
      </c>
      <c r="D31" s="68">
        <v>38</v>
      </c>
      <c r="E31" s="68">
        <v>131</v>
      </c>
      <c r="F31" s="68">
        <v>83</v>
      </c>
      <c r="G31" s="68">
        <v>16</v>
      </c>
      <c r="H31" s="68">
        <v>67</v>
      </c>
    </row>
    <row r="32" spans="1:8" s="41" customFormat="1" ht="15.75" customHeight="1">
      <c r="A32" s="67" t="s">
        <v>388</v>
      </c>
      <c r="B32" s="277">
        <v>1513</v>
      </c>
      <c r="C32" s="68">
        <v>1053</v>
      </c>
      <c r="D32" s="68">
        <v>474</v>
      </c>
      <c r="E32" s="68">
        <v>579</v>
      </c>
      <c r="F32" s="68">
        <v>460</v>
      </c>
      <c r="G32" s="68">
        <v>202</v>
      </c>
      <c r="H32" s="68">
        <v>258</v>
      </c>
    </row>
    <row r="33" spans="1:8" s="41" customFormat="1" ht="15.75" customHeight="1">
      <c r="A33" s="67" t="s">
        <v>389</v>
      </c>
      <c r="B33" s="277">
        <v>102</v>
      </c>
      <c r="C33" s="68">
        <v>67</v>
      </c>
      <c r="D33" s="68">
        <v>35</v>
      </c>
      <c r="E33" s="68">
        <v>32</v>
      </c>
      <c r="F33" s="68">
        <v>35</v>
      </c>
      <c r="G33" s="68">
        <v>13</v>
      </c>
      <c r="H33" s="68">
        <v>22</v>
      </c>
    </row>
    <row r="34" spans="1:8" s="41" customFormat="1" ht="15.75" customHeight="1">
      <c r="A34" s="67" t="s">
        <v>390</v>
      </c>
      <c r="B34" s="277">
        <v>1496</v>
      </c>
      <c r="C34" s="68">
        <v>1078</v>
      </c>
      <c r="D34" s="68">
        <v>562</v>
      </c>
      <c r="E34" s="68">
        <v>516</v>
      </c>
      <c r="F34" s="68">
        <v>418</v>
      </c>
      <c r="G34" s="68">
        <v>244</v>
      </c>
      <c r="H34" s="68">
        <v>174</v>
      </c>
    </row>
    <row r="35" spans="1:8" s="41" customFormat="1" ht="15.75" customHeight="1">
      <c r="A35" s="67" t="s">
        <v>391</v>
      </c>
      <c r="B35" s="277">
        <v>381</v>
      </c>
      <c r="C35" s="68">
        <v>170</v>
      </c>
      <c r="D35" s="68">
        <v>67</v>
      </c>
      <c r="E35" s="68">
        <v>103</v>
      </c>
      <c r="F35" s="68">
        <v>211</v>
      </c>
      <c r="G35" s="68">
        <v>71</v>
      </c>
      <c r="H35" s="68">
        <v>140</v>
      </c>
    </row>
    <row r="36" spans="1:8" s="41" customFormat="1" ht="15.75" customHeight="1">
      <c r="A36" s="67" t="s">
        <v>392</v>
      </c>
      <c r="B36" s="277">
        <v>456</v>
      </c>
      <c r="C36" s="68">
        <v>334</v>
      </c>
      <c r="D36" s="68">
        <v>89</v>
      </c>
      <c r="E36" s="68">
        <v>245</v>
      </c>
      <c r="F36" s="68">
        <v>122</v>
      </c>
      <c r="G36" s="68">
        <v>51</v>
      </c>
      <c r="H36" s="68">
        <v>71</v>
      </c>
    </row>
    <row r="37" spans="1:8" s="41" customFormat="1" ht="15.75" customHeight="1">
      <c r="A37" s="67" t="s">
        <v>393</v>
      </c>
      <c r="B37" s="277">
        <v>209</v>
      </c>
      <c r="C37" s="68">
        <v>137</v>
      </c>
      <c r="D37" s="68">
        <v>67</v>
      </c>
      <c r="E37" s="68">
        <v>70</v>
      </c>
      <c r="F37" s="68">
        <v>72</v>
      </c>
      <c r="G37" s="68">
        <v>37</v>
      </c>
      <c r="H37" s="68">
        <v>35</v>
      </c>
    </row>
    <row r="38" spans="1:8" s="41" customFormat="1" ht="15.75" customHeight="1">
      <c r="A38" s="67" t="s">
        <v>394</v>
      </c>
      <c r="B38" s="277">
        <v>880</v>
      </c>
      <c r="C38" s="68">
        <v>418</v>
      </c>
      <c r="D38" s="68">
        <v>194</v>
      </c>
      <c r="E38" s="68">
        <v>224</v>
      </c>
      <c r="F38" s="68">
        <v>462</v>
      </c>
      <c r="G38" s="68">
        <v>287</v>
      </c>
      <c r="H38" s="68">
        <v>175</v>
      </c>
    </row>
    <row r="39" spans="1:8" s="41" customFormat="1" ht="15.75" customHeight="1">
      <c r="A39" s="67" t="s">
        <v>395</v>
      </c>
      <c r="B39" s="277">
        <v>1469</v>
      </c>
      <c r="C39" s="68">
        <v>1232</v>
      </c>
      <c r="D39" s="68">
        <v>522</v>
      </c>
      <c r="E39" s="68">
        <v>710</v>
      </c>
      <c r="F39" s="68">
        <v>237</v>
      </c>
      <c r="G39" s="68">
        <v>141</v>
      </c>
      <c r="H39" s="68">
        <v>96</v>
      </c>
    </row>
    <row r="40" spans="1:8" s="41" customFormat="1" ht="15.75" customHeight="1">
      <c r="A40" s="67" t="s">
        <v>396</v>
      </c>
      <c r="B40" s="277">
        <v>744</v>
      </c>
      <c r="C40" s="68">
        <v>568</v>
      </c>
      <c r="D40" s="68">
        <v>404</v>
      </c>
      <c r="E40" s="68">
        <v>164</v>
      </c>
      <c r="F40" s="68">
        <v>176</v>
      </c>
      <c r="G40" s="68">
        <v>118</v>
      </c>
      <c r="H40" s="68">
        <v>58</v>
      </c>
    </row>
    <row r="41" spans="1:8" s="41" customFormat="1" ht="15.75" customHeight="1">
      <c r="A41" s="67" t="s">
        <v>397</v>
      </c>
      <c r="B41" s="277">
        <v>658</v>
      </c>
      <c r="C41" s="68">
        <v>414</v>
      </c>
      <c r="D41" s="68">
        <v>328</v>
      </c>
      <c r="E41" s="68">
        <v>86</v>
      </c>
      <c r="F41" s="68">
        <v>244</v>
      </c>
      <c r="G41" s="68">
        <v>183</v>
      </c>
      <c r="H41" s="68">
        <v>61</v>
      </c>
    </row>
    <row r="42" spans="1:8" s="41" customFormat="1" ht="15.75" customHeight="1">
      <c r="A42" s="67" t="s">
        <v>398</v>
      </c>
      <c r="B42" s="277">
        <v>916</v>
      </c>
      <c r="C42" s="68">
        <v>605</v>
      </c>
      <c r="D42" s="68">
        <v>472</v>
      </c>
      <c r="E42" s="68">
        <v>133</v>
      </c>
      <c r="F42" s="68">
        <v>311</v>
      </c>
      <c r="G42" s="68">
        <v>240</v>
      </c>
      <c r="H42" s="68">
        <v>71</v>
      </c>
    </row>
    <row r="43" spans="1:8" s="41" customFormat="1" ht="15.75" customHeight="1">
      <c r="A43" s="67" t="s">
        <v>399</v>
      </c>
      <c r="B43" s="277">
        <v>342</v>
      </c>
      <c r="C43" s="68">
        <v>215</v>
      </c>
      <c r="D43" s="68">
        <v>104</v>
      </c>
      <c r="E43" s="68">
        <v>111</v>
      </c>
      <c r="F43" s="68">
        <v>127</v>
      </c>
      <c r="G43" s="68">
        <v>70</v>
      </c>
      <c r="H43" s="68">
        <v>57</v>
      </c>
    </row>
    <row r="44" spans="1:8" s="41" customFormat="1" ht="15.75" customHeight="1">
      <c r="A44" s="67" t="s">
        <v>400</v>
      </c>
      <c r="B44" s="277">
        <v>457</v>
      </c>
      <c r="C44" s="68">
        <v>291</v>
      </c>
      <c r="D44" s="68">
        <v>232</v>
      </c>
      <c r="E44" s="68">
        <v>59</v>
      </c>
      <c r="F44" s="68">
        <v>166</v>
      </c>
      <c r="G44" s="68">
        <v>119</v>
      </c>
      <c r="H44" s="68">
        <v>47</v>
      </c>
    </row>
    <row r="45" spans="1:8" s="41" customFormat="1" ht="15.75" customHeight="1">
      <c r="A45" s="67" t="s">
        <v>401</v>
      </c>
      <c r="B45" s="277">
        <v>145</v>
      </c>
      <c r="C45" s="68">
        <v>77</v>
      </c>
      <c r="D45" s="68">
        <v>63</v>
      </c>
      <c r="E45" s="68">
        <v>14</v>
      </c>
      <c r="F45" s="68">
        <v>68</v>
      </c>
      <c r="G45" s="68">
        <v>57</v>
      </c>
      <c r="H45" s="68">
        <v>11</v>
      </c>
    </row>
    <row r="46" spans="1:13" s="41" customFormat="1" ht="15.75" customHeight="1" thickBot="1">
      <c r="A46" s="84" t="s">
        <v>402</v>
      </c>
      <c r="B46" s="278">
        <v>9</v>
      </c>
      <c r="C46" s="83">
        <v>0</v>
      </c>
      <c r="D46" s="83">
        <v>0</v>
      </c>
      <c r="E46" s="83">
        <v>0</v>
      </c>
      <c r="F46" s="83">
        <v>9</v>
      </c>
      <c r="G46" s="83">
        <v>0</v>
      </c>
      <c r="H46" s="83">
        <v>9</v>
      </c>
      <c r="I46" s="42"/>
      <c r="J46" s="42"/>
      <c r="K46" s="42"/>
      <c r="L46" s="42"/>
      <c r="M46" s="42"/>
    </row>
    <row r="47" spans="1:13" s="41" customFormat="1" ht="15.75" customHeight="1">
      <c r="A47" s="391" t="s">
        <v>635</v>
      </c>
      <c r="B47" s="391"/>
      <c r="C47" s="391"/>
      <c r="D47" s="391"/>
      <c r="E47" s="391"/>
      <c r="F47" s="391"/>
      <c r="G47" s="391"/>
      <c r="H47" s="391"/>
      <c r="I47" s="181"/>
      <c r="J47" s="181"/>
      <c r="K47" s="181"/>
      <c r="L47" s="181"/>
      <c r="M47" s="181"/>
    </row>
    <row r="48" s="41" customFormat="1" ht="15"/>
  </sheetData>
  <sheetProtection/>
  <mergeCells count="7">
    <mergeCell ref="A47:H47"/>
    <mergeCell ref="C5:E5"/>
    <mergeCell ref="F5:H5"/>
    <mergeCell ref="A1:H1"/>
    <mergeCell ref="A2:H2"/>
    <mergeCell ref="A3:H3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zoomScale="85" zoomScaleNormal="85" zoomScalePageLayoutView="0" workbookViewId="0" topLeftCell="A1">
      <selection activeCell="M25" sqref="M25"/>
    </sheetView>
  </sheetViews>
  <sheetFormatPr defaultColWidth="11.421875" defaultRowHeight="18" customHeight="1"/>
  <cols>
    <col min="1" max="1" width="54.7109375" style="74" bestFit="1" customWidth="1"/>
    <col min="2" max="2" width="8.8515625" style="74" bestFit="1" customWidth="1"/>
    <col min="3" max="3" width="18.28125" style="74" bestFit="1" customWidth="1"/>
    <col min="4" max="4" width="19.7109375" style="74" bestFit="1" customWidth="1"/>
    <col min="5" max="5" width="21.00390625" style="74" bestFit="1" customWidth="1"/>
    <col min="6" max="6" width="22.00390625" style="74" bestFit="1" customWidth="1"/>
    <col min="7" max="7" width="19.7109375" style="74" bestFit="1" customWidth="1"/>
    <col min="8" max="8" width="29.421875" style="74" bestFit="1" customWidth="1"/>
    <col min="9" max="9" width="27.28125" style="74" bestFit="1" customWidth="1"/>
    <col min="10" max="16384" width="11.421875" style="74" customWidth="1"/>
  </cols>
  <sheetData>
    <row r="1" spans="1:9" ht="18" customHeight="1">
      <c r="A1" s="407" t="s">
        <v>410</v>
      </c>
      <c r="B1" s="407"/>
      <c r="C1" s="407"/>
      <c r="D1" s="407"/>
      <c r="E1" s="407"/>
      <c r="F1" s="407"/>
      <c r="G1" s="407"/>
      <c r="H1" s="407"/>
      <c r="I1" s="407"/>
    </row>
    <row r="2" spans="1:9" s="77" customFormat="1" ht="15.75" customHeight="1">
      <c r="A2" s="416" t="s">
        <v>528</v>
      </c>
      <c r="B2" s="416"/>
      <c r="C2" s="416"/>
      <c r="D2" s="416"/>
      <c r="E2" s="416"/>
      <c r="F2" s="416"/>
      <c r="G2" s="416"/>
      <c r="H2" s="416"/>
      <c r="I2" s="416"/>
    </row>
    <row r="3" spans="1:9" s="77" customFormat="1" ht="15.75" customHeight="1" thickBot="1">
      <c r="A3" s="405" t="s">
        <v>443</v>
      </c>
      <c r="B3" s="405"/>
      <c r="C3" s="405"/>
      <c r="D3" s="405"/>
      <c r="E3" s="405"/>
      <c r="F3" s="405"/>
      <c r="G3" s="405"/>
      <c r="H3" s="405"/>
      <c r="I3" s="405"/>
    </row>
    <row r="4" spans="1:9" s="77" customFormat="1" ht="15.75" customHeight="1">
      <c r="A4" s="88"/>
      <c r="B4" s="350" t="s">
        <v>134</v>
      </c>
      <c r="C4" s="411" t="s">
        <v>411</v>
      </c>
      <c r="D4" s="411"/>
      <c r="E4" s="411"/>
      <c r="F4" s="411"/>
      <c r="G4" s="411"/>
      <c r="H4" s="411"/>
      <c r="I4" s="411"/>
    </row>
    <row r="5" spans="1:9" s="77" customFormat="1" ht="15.75" customHeight="1">
      <c r="A5" s="88"/>
      <c r="B5" s="342"/>
      <c r="C5" s="349" t="s">
        <v>74</v>
      </c>
      <c r="D5" s="349" t="s">
        <v>79</v>
      </c>
      <c r="E5" s="349" t="s">
        <v>256</v>
      </c>
      <c r="F5" s="349" t="s">
        <v>81</v>
      </c>
      <c r="G5" s="349" t="s">
        <v>137</v>
      </c>
      <c r="H5" s="349" t="s">
        <v>195</v>
      </c>
      <c r="I5" s="349" t="s">
        <v>138</v>
      </c>
    </row>
    <row r="6" spans="1:9" s="77" customFormat="1" ht="15.75" customHeight="1">
      <c r="A6" s="141" t="s">
        <v>134</v>
      </c>
      <c r="B6" s="279">
        <v>17669</v>
      </c>
      <c r="C6" s="102">
        <v>11221</v>
      </c>
      <c r="D6" s="102">
        <v>1365</v>
      </c>
      <c r="E6" s="102">
        <v>3452</v>
      </c>
      <c r="F6" s="102">
        <v>1595</v>
      </c>
      <c r="G6" s="102">
        <v>19</v>
      </c>
      <c r="H6" s="102">
        <v>7</v>
      </c>
      <c r="I6" s="102">
        <v>10</v>
      </c>
    </row>
    <row r="7" spans="1:9" s="77" customFormat="1" ht="15.75" customHeight="1">
      <c r="A7" s="93" t="s">
        <v>364</v>
      </c>
      <c r="B7" s="280">
        <v>181</v>
      </c>
      <c r="C7" s="87">
        <v>147</v>
      </c>
      <c r="D7" s="87">
        <v>4</v>
      </c>
      <c r="E7" s="87">
        <v>10</v>
      </c>
      <c r="F7" s="87">
        <v>7</v>
      </c>
      <c r="G7" s="87">
        <v>13</v>
      </c>
      <c r="H7" s="87">
        <v>0</v>
      </c>
      <c r="I7" s="87">
        <v>0</v>
      </c>
    </row>
    <row r="8" spans="1:9" s="77" customFormat="1" ht="15.75" customHeight="1">
      <c r="A8" s="67" t="s">
        <v>365</v>
      </c>
      <c r="B8" s="280">
        <v>181</v>
      </c>
      <c r="C8" s="87">
        <v>147</v>
      </c>
      <c r="D8" s="87">
        <v>4</v>
      </c>
      <c r="E8" s="87">
        <v>10</v>
      </c>
      <c r="F8" s="87">
        <v>7</v>
      </c>
      <c r="G8" s="87">
        <v>13</v>
      </c>
      <c r="H8" s="87">
        <v>0</v>
      </c>
      <c r="I8" s="87">
        <v>0</v>
      </c>
    </row>
    <row r="9" spans="1:9" s="77" customFormat="1" ht="15.75" customHeight="1">
      <c r="A9" s="93" t="s">
        <v>366</v>
      </c>
      <c r="B9" s="279">
        <v>4931</v>
      </c>
      <c r="C9" s="102">
        <v>2714</v>
      </c>
      <c r="D9" s="102">
        <v>460</v>
      </c>
      <c r="E9" s="102">
        <v>1189</v>
      </c>
      <c r="F9" s="102">
        <v>563</v>
      </c>
      <c r="G9" s="102">
        <v>3</v>
      </c>
      <c r="H9" s="102">
        <v>2</v>
      </c>
      <c r="I9" s="102">
        <v>0</v>
      </c>
    </row>
    <row r="10" spans="1:9" s="77" customFormat="1" ht="15.75" customHeight="1">
      <c r="A10" s="67" t="s">
        <v>367</v>
      </c>
      <c r="B10" s="280">
        <v>24</v>
      </c>
      <c r="C10" s="87">
        <v>18</v>
      </c>
      <c r="D10" s="87">
        <v>3</v>
      </c>
      <c r="E10" s="87">
        <v>2</v>
      </c>
      <c r="F10" s="87">
        <v>1</v>
      </c>
      <c r="G10" s="87">
        <v>0</v>
      </c>
      <c r="H10" s="87">
        <v>0</v>
      </c>
      <c r="I10" s="87">
        <v>0</v>
      </c>
    </row>
    <row r="11" spans="1:9" s="77" customFormat="1" ht="15.75" customHeight="1">
      <c r="A11" s="67" t="s">
        <v>368</v>
      </c>
      <c r="B11" s="280">
        <v>461</v>
      </c>
      <c r="C11" s="87">
        <v>128</v>
      </c>
      <c r="D11" s="87">
        <v>67</v>
      </c>
      <c r="E11" s="87">
        <v>187</v>
      </c>
      <c r="F11" s="87">
        <v>78</v>
      </c>
      <c r="G11" s="87">
        <v>0</v>
      </c>
      <c r="H11" s="87">
        <v>1</v>
      </c>
      <c r="I11" s="87">
        <v>0</v>
      </c>
    </row>
    <row r="12" spans="1:9" s="77" customFormat="1" ht="15.75" customHeight="1">
      <c r="A12" s="67" t="s">
        <v>369</v>
      </c>
      <c r="B12" s="280">
        <v>55</v>
      </c>
      <c r="C12" s="87">
        <v>32</v>
      </c>
      <c r="D12" s="87">
        <v>3</v>
      </c>
      <c r="E12" s="87">
        <v>14</v>
      </c>
      <c r="F12" s="87">
        <v>6</v>
      </c>
      <c r="G12" s="87">
        <v>0</v>
      </c>
      <c r="H12" s="87">
        <v>0</v>
      </c>
      <c r="I12" s="87">
        <v>0</v>
      </c>
    </row>
    <row r="13" spans="1:9" s="77" customFormat="1" ht="15.75" customHeight="1">
      <c r="A13" s="67" t="s">
        <v>370</v>
      </c>
      <c r="B13" s="280">
        <v>232</v>
      </c>
      <c r="C13" s="87">
        <v>174</v>
      </c>
      <c r="D13" s="87">
        <v>17</v>
      </c>
      <c r="E13" s="87">
        <v>28</v>
      </c>
      <c r="F13" s="87">
        <v>13</v>
      </c>
      <c r="G13" s="87">
        <v>0</v>
      </c>
      <c r="H13" s="87">
        <v>0</v>
      </c>
      <c r="I13" s="87">
        <v>0</v>
      </c>
    </row>
    <row r="14" spans="1:9" s="77" customFormat="1" ht="15.75" customHeight="1">
      <c r="A14" s="67" t="s">
        <v>371</v>
      </c>
      <c r="B14" s="280">
        <v>24</v>
      </c>
      <c r="C14" s="87">
        <v>15</v>
      </c>
      <c r="D14" s="87">
        <v>3</v>
      </c>
      <c r="E14" s="87">
        <v>4</v>
      </c>
      <c r="F14" s="87">
        <v>2</v>
      </c>
      <c r="G14" s="87">
        <v>0</v>
      </c>
      <c r="H14" s="87">
        <v>0</v>
      </c>
      <c r="I14" s="87">
        <v>0</v>
      </c>
    </row>
    <row r="15" spans="1:9" s="77" customFormat="1" ht="15.75" customHeight="1">
      <c r="A15" s="67" t="s">
        <v>372</v>
      </c>
      <c r="B15" s="280">
        <v>213</v>
      </c>
      <c r="C15" s="87">
        <v>89</v>
      </c>
      <c r="D15" s="87">
        <v>40</v>
      </c>
      <c r="E15" s="87">
        <v>68</v>
      </c>
      <c r="F15" s="87">
        <v>15</v>
      </c>
      <c r="G15" s="87">
        <v>1</v>
      </c>
      <c r="H15" s="87">
        <v>0</v>
      </c>
      <c r="I15" s="87">
        <v>0</v>
      </c>
    </row>
    <row r="16" spans="1:9" s="77" customFormat="1" ht="15.75" customHeight="1">
      <c r="A16" s="67" t="s">
        <v>373</v>
      </c>
      <c r="B16" s="280">
        <v>507</v>
      </c>
      <c r="C16" s="87">
        <v>320</v>
      </c>
      <c r="D16" s="87">
        <v>53</v>
      </c>
      <c r="E16" s="87">
        <v>104</v>
      </c>
      <c r="F16" s="87">
        <v>30</v>
      </c>
      <c r="G16" s="87">
        <v>0</v>
      </c>
      <c r="H16" s="87">
        <v>0</v>
      </c>
      <c r="I16" s="87">
        <v>0</v>
      </c>
    </row>
    <row r="17" spans="1:9" s="77" customFormat="1" ht="15.75" customHeight="1">
      <c r="A17" s="67" t="s">
        <v>374</v>
      </c>
      <c r="B17" s="280">
        <v>212</v>
      </c>
      <c r="C17" s="87">
        <v>133</v>
      </c>
      <c r="D17" s="87">
        <v>19</v>
      </c>
      <c r="E17" s="87">
        <v>45</v>
      </c>
      <c r="F17" s="87">
        <v>15</v>
      </c>
      <c r="G17" s="87">
        <v>0</v>
      </c>
      <c r="H17" s="87">
        <v>0</v>
      </c>
      <c r="I17" s="87">
        <v>0</v>
      </c>
    </row>
    <row r="18" spans="1:9" s="77" customFormat="1" ht="15.75" customHeight="1">
      <c r="A18" s="67" t="s">
        <v>375</v>
      </c>
      <c r="B18" s="280">
        <v>113</v>
      </c>
      <c r="C18" s="87">
        <v>61</v>
      </c>
      <c r="D18" s="87">
        <v>14</v>
      </c>
      <c r="E18" s="87">
        <v>29</v>
      </c>
      <c r="F18" s="87">
        <v>9</v>
      </c>
      <c r="G18" s="87">
        <v>0</v>
      </c>
      <c r="H18" s="87">
        <v>0</v>
      </c>
      <c r="I18" s="87">
        <v>0</v>
      </c>
    </row>
    <row r="19" spans="1:9" s="77" customFormat="1" ht="15.75" customHeight="1">
      <c r="A19" s="67" t="s">
        <v>376</v>
      </c>
      <c r="B19" s="280">
        <v>624</v>
      </c>
      <c r="C19" s="87">
        <v>359</v>
      </c>
      <c r="D19" s="87">
        <v>41</v>
      </c>
      <c r="E19" s="87">
        <v>128</v>
      </c>
      <c r="F19" s="87">
        <v>96</v>
      </c>
      <c r="G19" s="87">
        <v>0</v>
      </c>
      <c r="H19" s="87">
        <v>0</v>
      </c>
      <c r="I19" s="87">
        <v>0</v>
      </c>
    </row>
    <row r="20" spans="1:9" s="77" customFormat="1" ht="15.75" customHeight="1">
      <c r="A20" s="67" t="s">
        <v>377</v>
      </c>
      <c r="B20" s="280">
        <v>450</v>
      </c>
      <c r="C20" s="87">
        <v>215</v>
      </c>
      <c r="D20" s="87">
        <v>46</v>
      </c>
      <c r="E20" s="87">
        <v>99</v>
      </c>
      <c r="F20" s="87">
        <v>89</v>
      </c>
      <c r="G20" s="87">
        <v>1</v>
      </c>
      <c r="H20" s="87">
        <v>0</v>
      </c>
      <c r="I20" s="87">
        <v>0</v>
      </c>
    </row>
    <row r="21" spans="1:9" s="77" customFormat="1" ht="15.75" customHeight="1">
      <c r="A21" s="67" t="s">
        <v>378</v>
      </c>
      <c r="B21" s="280">
        <v>376</v>
      </c>
      <c r="C21" s="87">
        <v>225</v>
      </c>
      <c r="D21" s="87">
        <v>21</v>
      </c>
      <c r="E21" s="87">
        <v>100</v>
      </c>
      <c r="F21" s="87">
        <v>30</v>
      </c>
      <c r="G21" s="87">
        <v>0</v>
      </c>
      <c r="H21" s="87">
        <v>0</v>
      </c>
      <c r="I21" s="87">
        <v>0</v>
      </c>
    </row>
    <row r="22" spans="1:9" s="77" customFormat="1" ht="15.75" customHeight="1">
      <c r="A22" s="67" t="s">
        <v>379</v>
      </c>
      <c r="B22" s="280">
        <v>186</v>
      </c>
      <c r="C22" s="87">
        <v>145</v>
      </c>
      <c r="D22" s="87">
        <v>12</v>
      </c>
      <c r="E22" s="87">
        <v>16</v>
      </c>
      <c r="F22" s="87">
        <v>13</v>
      </c>
      <c r="G22" s="87">
        <v>0</v>
      </c>
      <c r="H22" s="87">
        <v>0</v>
      </c>
      <c r="I22" s="87">
        <v>0</v>
      </c>
    </row>
    <row r="23" spans="1:9" s="77" customFormat="1" ht="15.75" customHeight="1">
      <c r="A23" s="67" t="s">
        <v>380</v>
      </c>
      <c r="B23" s="280">
        <v>1454</v>
      </c>
      <c r="C23" s="87">
        <v>800</v>
      </c>
      <c r="D23" s="87">
        <v>121</v>
      </c>
      <c r="E23" s="87">
        <v>365</v>
      </c>
      <c r="F23" s="87">
        <v>166</v>
      </c>
      <c r="G23" s="87">
        <v>1</v>
      </c>
      <c r="H23" s="87">
        <v>1</v>
      </c>
      <c r="I23" s="87">
        <v>0</v>
      </c>
    </row>
    <row r="24" spans="1:9" s="77" customFormat="1" ht="15.75" customHeight="1">
      <c r="A24" s="93" t="s">
        <v>381</v>
      </c>
      <c r="B24" s="279">
        <v>12557</v>
      </c>
      <c r="C24" s="102">
        <v>8360</v>
      </c>
      <c r="D24" s="102">
        <v>901</v>
      </c>
      <c r="E24" s="102">
        <v>2253</v>
      </c>
      <c r="F24" s="102">
        <v>1025</v>
      </c>
      <c r="G24" s="102">
        <v>3</v>
      </c>
      <c r="H24" s="102">
        <v>5</v>
      </c>
      <c r="I24" s="102">
        <v>10</v>
      </c>
    </row>
    <row r="25" spans="1:9" s="77" customFormat="1" ht="15.75" customHeight="1">
      <c r="A25" s="67" t="s">
        <v>382</v>
      </c>
      <c r="B25" s="280">
        <v>1424</v>
      </c>
      <c r="C25" s="87">
        <v>906</v>
      </c>
      <c r="D25" s="87">
        <v>126</v>
      </c>
      <c r="E25" s="87">
        <v>257</v>
      </c>
      <c r="F25" s="87">
        <v>134</v>
      </c>
      <c r="G25" s="87">
        <v>0</v>
      </c>
      <c r="H25" s="87">
        <v>1</v>
      </c>
      <c r="I25" s="87">
        <v>0</v>
      </c>
    </row>
    <row r="26" spans="1:9" s="77" customFormat="1" ht="15.75" customHeight="1">
      <c r="A26" s="67" t="s">
        <v>383</v>
      </c>
      <c r="B26" s="280">
        <v>431</v>
      </c>
      <c r="C26" s="87">
        <v>277</v>
      </c>
      <c r="D26" s="87">
        <v>53</v>
      </c>
      <c r="E26" s="87">
        <v>70</v>
      </c>
      <c r="F26" s="87">
        <v>30</v>
      </c>
      <c r="G26" s="87">
        <v>1</v>
      </c>
      <c r="H26" s="87">
        <v>0</v>
      </c>
      <c r="I26" s="87">
        <v>0</v>
      </c>
    </row>
    <row r="27" spans="1:9" s="77" customFormat="1" ht="15.75" customHeight="1">
      <c r="A27" s="67" t="s">
        <v>384</v>
      </c>
      <c r="B27" s="280">
        <v>512</v>
      </c>
      <c r="C27" s="87">
        <v>232</v>
      </c>
      <c r="D27" s="87">
        <v>39</v>
      </c>
      <c r="E27" s="87">
        <v>157</v>
      </c>
      <c r="F27" s="87">
        <v>83</v>
      </c>
      <c r="G27" s="87">
        <v>0</v>
      </c>
      <c r="H27" s="87">
        <v>1</v>
      </c>
      <c r="I27" s="87">
        <v>0</v>
      </c>
    </row>
    <row r="28" spans="1:9" s="77" customFormat="1" ht="15.75" customHeight="1">
      <c r="A28" s="67" t="s">
        <v>385</v>
      </c>
      <c r="B28" s="280">
        <v>104</v>
      </c>
      <c r="C28" s="87">
        <v>77</v>
      </c>
      <c r="D28" s="87">
        <v>3</v>
      </c>
      <c r="E28" s="87">
        <v>17</v>
      </c>
      <c r="F28" s="87">
        <v>7</v>
      </c>
      <c r="G28" s="87">
        <v>0</v>
      </c>
      <c r="H28" s="87">
        <v>0</v>
      </c>
      <c r="I28" s="87">
        <v>0</v>
      </c>
    </row>
    <row r="29" spans="1:9" s="77" customFormat="1" ht="15.75" customHeight="1">
      <c r="A29" s="67" t="s">
        <v>386</v>
      </c>
      <c r="B29" s="280">
        <v>57</v>
      </c>
      <c r="C29" s="87">
        <v>40</v>
      </c>
      <c r="D29" s="87">
        <v>3</v>
      </c>
      <c r="E29" s="87">
        <v>12</v>
      </c>
      <c r="F29" s="87">
        <v>2</v>
      </c>
      <c r="G29" s="87">
        <v>0</v>
      </c>
      <c r="H29" s="87">
        <v>0</v>
      </c>
      <c r="I29" s="87">
        <v>0</v>
      </c>
    </row>
    <row r="30" spans="1:9" s="77" customFormat="1" ht="15.75" customHeight="1">
      <c r="A30" s="67" t="s">
        <v>387</v>
      </c>
      <c r="B30" s="280">
        <v>252</v>
      </c>
      <c r="C30" s="87">
        <v>169</v>
      </c>
      <c r="D30" s="87">
        <v>16</v>
      </c>
      <c r="E30" s="87">
        <v>47</v>
      </c>
      <c r="F30" s="87">
        <v>19</v>
      </c>
      <c r="G30" s="87">
        <v>1</v>
      </c>
      <c r="H30" s="87">
        <v>0</v>
      </c>
      <c r="I30" s="87">
        <v>0</v>
      </c>
    </row>
    <row r="31" spans="1:9" s="77" customFormat="1" ht="15.75" customHeight="1">
      <c r="A31" s="67" t="s">
        <v>388</v>
      </c>
      <c r="B31" s="280">
        <v>1513</v>
      </c>
      <c r="C31" s="87">
        <v>1053</v>
      </c>
      <c r="D31" s="87">
        <v>96</v>
      </c>
      <c r="E31" s="87">
        <v>221</v>
      </c>
      <c r="F31" s="87">
        <v>143</v>
      </c>
      <c r="G31" s="87">
        <v>0</v>
      </c>
      <c r="H31" s="87">
        <v>0</v>
      </c>
      <c r="I31" s="87">
        <v>0</v>
      </c>
    </row>
    <row r="32" spans="1:9" s="77" customFormat="1" ht="15.75" customHeight="1">
      <c r="A32" s="67" t="s">
        <v>389</v>
      </c>
      <c r="B32" s="280">
        <v>102</v>
      </c>
      <c r="C32" s="87">
        <v>67</v>
      </c>
      <c r="D32" s="87">
        <v>11</v>
      </c>
      <c r="E32" s="87">
        <v>18</v>
      </c>
      <c r="F32" s="87">
        <v>6</v>
      </c>
      <c r="G32" s="87">
        <v>0</v>
      </c>
      <c r="H32" s="87">
        <v>0</v>
      </c>
      <c r="I32" s="87">
        <v>0</v>
      </c>
    </row>
    <row r="33" spans="1:9" s="77" customFormat="1" ht="15.75" customHeight="1">
      <c r="A33" s="67" t="s">
        <v>390</v>
      </c>
      <c r="B33" s="280">
        <v>1496</v>
      </c>
      <c r="C33" s="87">
        <v>1078</v>
      </c>
      <c r="D33" s="87">
        <v>91</v>
      </c>
      <c r="E33" s="87">
        <v>236</v>
      </c>
      <c r="F33" s="87">
        <v>90</v>
      </c>
      <c r="G33" s="87">
        <v>1</v>
      </c>
      <c r="H33" s="87">
        <v>0</v>
      </c>
      <c r="I33" s="87">
        <v>0</v>
      </c>
    </row>
    <row r="34" spans="1:9" s="77" customFormat="1" ht="15.75" customHeight="1">
      <c r="A34" s="67" t="s">
        <v>391</v>
      </c>
      <c r="B34" s="280">
        <v>381</v>
      </c>
      <c r="C34" s="87">
        <v>170</v>
      </c>
      <c r="D34" s="87">
        <v>43</v>
      </c>
      <c r="E34" s="87">
        <v>116</v>
      </c>
      <c r="F34" s="87">
        <v>51</v>
      </c>
      <c r="G34" s="87">
        <v>0</v>
      </c>
      <c r="H34" s="87">
        <v>1</v>
      </c>
      <c r="I34" s="87">
        <v>0</v>
      </c>
    </row>
    <row r="35" spans="1:9" s="77" customFormat="1" ht="15.75" customHeight="1">
      <c r="A35" s="67" t="s">
        <v>392</v>
      </c>
      <c r="B35" s="280">
        <v>456</v>
      </c>
      <c r="C35" s="87">
        <v>334</v>
      </c>
      <c r="D35" s="87">
        <v>23</v>
      </c>
      <c r="E35" s="87">
        <v>67</v>
      </c>
      <c r="F35" s="87">
        <v>32</v>
      </c>
      <c r="G35" s="87">
        <v>0</v>
      </c>
      <c r="H35" s="87">
        <v>0</v>
      </c>
      <c r="I35" s="87">
        <v>0</v>
      </c>
    </row>
    <row r="36" spans="1:9" s="77" customFormat="1" ht="15.75" customHeight="1">
      <c r="A36" s="67" t="s">
        <v>393</v>
      </c>
      <c r="B36" s="280">
        <v>209</v>
      </c>
      <c r="C36" s="87">
        <v>137</v>
      </c>
      <c r="D36" s="87">
        <v>13</v>
      </c>
      <c r="E36" s="87">
        <v>42</v>
      </c>
      <c r="F36" s="87">
        <v>17</v>
      </c>
      <c r="G36" s="87">
        <v>0</v>
      </c>
      <c r="H36" s="87">
        <v>0</v>
      </c>
      <c r="I36" s="87">
        <v>0</v>
      </c>
    </row>
    <row r="37" spans="1:9" s="77" customFormat="1" ht="15.75" customHeight="1">
      <c r="A37" s="67" t="s">
        <v>394</v>
      </c>
      <c r="B37" s="280">
        <v>880</v>
      </c>
      <c r="C37" s="87">
        <v>418</v>
      </c>
      <c r="D37" s="87">
        <v>113</v>
      </c>
      <c r="E37" s="87">
        <v>203</v>
      </c>
      <c r="F37" s="87">
        <v>144</v>
      </c>
      <c r="G37" s="87">
        <v>0</v>
      </c>
      <c r="H37" s="87">
        <v>2</v>
      </c>
      <c r="I37" s="87">
        <v>0</v>
      </c>
    </row>
    <row r="38" spans="1:9" s="77" customFormat="1" ht="15.75" customHeight="1">
      <c r="A38" s="67" t="s">
        <v>395</v>
      </c>
      <c r="B38" s="280">
        <v>1469</v>
      </c>
      <c r="C38" s="87">
        <v>1232</v>
      </c>
      <c r="D38" s="87">
        <v>54</v>
      </c>
      <c r="E38" s="87">
        <v>141</v>
      </c>
      <c r="F38" s="87">
        <v>42</v>
      </c>
      <c r="G38" s="87">
        <v>0</v>
      </c>
      <c r="H38" s="87">
        <v>0</v>
      </c>
      <c r="I38" s="87">
        <v>0</v>
      </c>
    </row>
    <row r="39" spans="1:9" s="77" customFormat="1" ht="15.75" customHeight="1">
      <c r="A39" s="67" t="s">
        <v>396</v>
      </c>
      <c r="B39" s="280">
        <v>744</v>
      </c>
      <c r="C39" s="87">
        <v>568</v>
      </c>
      <c r="D39" s="87">
        <v>32</v>
      </c>
      <c r="E39" s="87">
        <v>122</v>
      </c>
      <c r="F39" s="87">
        <v>22</v>
      </c>
      <c r="G39" s="87">
        <v>0</v>
      </c>
      <c r="H39" s="87">
        <v>0</v>
      </c>
      <c r="I39" s="87">
        <v>0</v>
      </c>
    </row>
    <row r="40" spans="1:9" s="77" customFormat="1" ht="15.75" customHeight="1">
      <c r="A40" s="67" t="s">
        <v>397</v>
      </c>
      <c r="B40" s="280">
        <v>658</v>
      </c>
      <c r="C40" s="87">
        <v>414</v>
      </c>
      <c r="D40" s="87">
        <v>33</v>
      </c>
      <c r="E40" s="87">
        <v>155</v>
      </c>
      <c r="F40" s="87">
        <v>56</v>
      </c>
      <c r="G40" s="87">
        <v>0</v>
      </c>
      <c r="H40" s="87">
        <v>0</v>
      </c>
      <c r="I40" s="87">
        <v>0</v>
      </c>
    </row>
    <row r="41" spans="1:9" s="77" customFormat="1" ht="15.75" customHeight="1">
      <c r="A41" s="67" t="s">
        <v>398</v>
      </c>
      <c r="B41" s="280">
        <v>916</v>
      </c>
      <c r="C41" s="87">
        <v>605</v>
      </c>
      <c r="D41" s="87">
        <v>80</v>
      </c>
      <c r="E41" s="87">
        <v>162</v>
      </c>
      <c r="F41" s="87">
        <v>68</v>
      </c>
      <c r="G41" s="87">
        <v>0</v>
      </c>
      <c r="H41" s="87">
        <v>0</v>
      </c>
      <c r="I41" s="87">
        <v>1</v>
      </c>
    </row>
    <row r="42" spans="1:9" s="77" customFormat="1" ht="15.75" customHeight="1">
      <c r="A42" s="67" t="s">
        <v>399</v>
      </c>
      <c r="B42" s="280">
        <v>342</v>
      </c>
      <c r="C42" s="87">
        <v>215</v>
      </c>
      <c r="D42" s="87">
        <v>24</v>
      </c>
      <c r="E42" s="87">
        <v>73</v>
      </c>
      <c r="F42" s="87">
        <v>30</v>
      </c>
      <c r="G42" s="87">
        <v>0</v>
      </c>
      <c r="H42" s="87">
        <v>0</v>
      </c>
      <c r="I42" s="87">
        <v>0</v>
      </c>
    </row>
    <row r="43" spans="1:9" s="77" customFormat="1" ht="15.75" customHeight="1">
      <c r="A43" s="67" t="s">
        <v>400</v>
      </c>
      <c r="B43" s="280">
        <v>457</v>
      </c>
      <c r="C43" s="87">
        <v>291</v>
      </c>
      <c r="D43" s="87">
        <v>35</v>
      </c>
      <c r="E43" s="87">
        <v>93</v>
      </c>
      <c r="F43" s="87">
        <v>38</v>
      </c>
      <c r="G43" s="87">
        <v>0</v>
      </c>
      <c r="H43" s="87">
        <v>0</v>
      </c>
      <c r="I43" s="87">
        <v>0</v>
      </c>
    </row>
    <row r="44" spans="1:9" s="77" customFormat="1" ht="15.75" customHeight="1">
      <c r="A44" s="67" t="s">
        <v>401</v>
      </c>
      <c r="B44" s="280">
        <v>145</v>
      </c>
      <c r="C44" s="87">
        <v>77</v>
      </c>
      <c r="D44" s="87">
        <v>13</v>
      </c>
      <c r="E44" s="87">
        <v>44</v>
      </c>
      <c r="F44" s="87">
        <v>11</v>
      </c>
      <c r="G44" s="87">
        <v>0</v>
      </c>
      <c r="H44" s="87">
        <v>0</v>
      </c>
      <c r="I44" s="87">
        <v>0</v>
      </c>
    </row>
    <row r="45" spans="1:13" s="77" customFormat="1" ht="15.75" customHeight="1" thickBot="1">
      <c r="A45" s="84" t="s">
        <v>402</v>
      </c>
      <c r="B45" s="281">
        <v>9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9</v>
      </c>
      <c r="J45" s="187"/>
      <c r="K45" s="187"/>
      <c r="L45" s="187"/>
      <c r="M45" s="187"/>
    </row>
    <row r="46" spans="1:13" s="77" customFormat="1" ht="15.75" customHeight="1">
      <c r="A46" s="391" t="s">
        <v>635</v>
      </c>
      <c r="B46" s="391"/>
      <c r="C46" s="391"/>
      <c r="D46" s="391"/>
      <c r="E46" s="391"/>
      <c r="F46" s="391"/>
      <c r="G46" s="391"/>
      <c r="H46" s="391"/>
      <c r="I46" s="391"/>
      <c r="J46" s="181"/>
      <c r="K46" s="181"/>
      <c r="L46" s="181"/>
      <c r="M46" s="181"/>
    </row>
    <row r="47" spans="1:9" s="77" customFormat="1" ht="15.75" customHeight="1">
      <c r="A47" s="421" t="s">
        <v>202</v>
      </c>
      <c r="B47" s="421"/>
      <c r="C47" s="421"/>
      <c r="D47" s="421"/>
      <c r="E47" s="421"/>
      <c r="F47" s="421"/>
      <c r="G47" s="421"/>
      <c r="H47" s="421"/>
      <c r="I47" s="421"/>
    </row>
    <row r="48" spans="1:9" s="77" customFormat="1" ht="15.75" customHeight="1">
      <c r="A48" s="420" t="s">
        <v>452</v>
      </c>
      <c r="B48" s="420"/>
      <c r="C48" s="420"/>
      <c r="D48" s="420"/>
      <c r="E48" s="420"/>
      <c r="F48" s="420"/>
      <c r="G48" s="420"/>
      <c r="H48" s="420"/>
      <c r="I48" s="420"/>
    </row>
    <row r="49" s="77" customFormat="1" ht="15.75" customHeight="1"/>
  </sheetData>
  <sheetProtection/>
  <mergeCells count="7">
    <mergeCell ref="A1:I1"/>
    <mergeCell ref="A2:I2"/>
    <mergeCell ref="A3:I3"/>
    <mergeCell ref="A48:I48"/>
    <mergeCell ref="A47:I47"/>
    <mergeCell ref="C4:I4"/>
    <mergeCell ref="A46:I46"/>
  </mergeCells>
  <printOptions/>
  <pageMargins left="0.7" right="0.7" top="0.787401575" bottom="0.7874015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5"/>
  <sheetViews>
    <sheetView zoomScale="85" zoomScaleNormal="85" zoomScalePageLayoutView="0" workbookViewId="0" topLeftCell="A1">
      <selection activeCell="P27" sqref="P27"/>
    </sheetView>
  </sheetViews>
  <sheetFormatPr defaultColWidth="11.421875" defaultRowHeight="12.75"/>
  <cols>
    <col min="1" max="1" width="25.28125" style="149" customWidth="1"/>
    <col min="2" max="2" width="8.8515625" style="149" bestFit="1" customWidth="1"/>
    <col min="3" max="3" width="7.8515625" style="149" bestFit="1" customWidth="1"/>
    <col min="4" max="4" width="9.28125" style="149" bestFit="1" customWidth="1"/>
    <col min="5" max="5" width="8.8515625" style="149" bestFit="1" customWidth="1"/>
    <col min="6" max="6" width="14.7109375" style="149" customWidth="1"/>
    <col min="7" max="7" width="9.28125" style="149" bestFit="1" customWidth="1"/>
    <col min="8" max="8" width="9.7109375" style="149" bestFit="1" customWidth="1"/>
    <col min="9" max="9" width="9.00390625" style="149" bestFit="1" customWidth="1"/>
    <col min="10" max="10" width="9.28125" style="149" bestFit="1" customWidth="1"/>
    <col min="11" max="11" width="10.28125" style="149" bestFit="1" customWidth="1"/>
    <col min="12" max="12" width="9.28125" style="149" bestFit="1" customWidth="1"/>
    <col min="13" max="13" width="15.140625" style="149" bestFit="1" customWidth="1"/>
    <col min="14" max="16384" width="11.421875" style="149" customWidth="1"/>
  </cols>
  <sheetData>
    <row r="1" spans="1:13" ht="18" customHeight="1">
      <c r="A1" s="407" t="s">
        <v>412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1" customFormat="1" ht="15.75" customHeight="1">
      <c r="A2" s="416" t="s">
        <v>528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s="41" customFormat="1" ht="15.75" customHeight="1" thickBot="1">
      <c r="A3" s="405" t="s">
        <v>639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s="41" customFormat="1" ht="15.75" customHeight="1">
      <c r="A4" s="161"/>
      <c r="B4" s="339" t="s">
        <v>134</v>
      </c>
      <c r="C4" s="411" t="s">
        <v>122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s="41" customFormat="1" ht="15.75" customHeight="1">
      <c r="A5" s="161"/>
      <c r="B5" s="340"/>
      <c r="C5" s="335" t="s">
        <v>123</v>
      </c>
      <c r="D5" s="335" t="s">
        <v>124</v>
      </c>
      <c r="E5" s="335" t="s">
        <v>125</v>
      </c>
      <c r="F5" s="335" t="s">
        <v>126</v>
      </c>
      <c r="G5" s="335" t="s">
        <v>127</v>
      </c>
      <c r="H5" s="335" t="s">
        <v>128</v>
      </c>
      <c r="I5" s="335" t="s">
        <v>129</v>
      </c>
      <c r="J5" s="335" t="s">
        <v>130</v>
      </c>
      <c r="K5" s="335" t="s">
        <v>131</v>
      </c>
      <c r="L5" s="335" t="s">
        <v>132</v>
      </c>
      <c r="M5" s="335" t="s">
        <v>133</v>
      </c>
    </row>
    <row r="6" spans="1:13" s="41" customFormat="1" ht="15.75" customHeight="1">
      <c r="A6" s="179" t="s">
        <v>134</v>
      </c>
      <c r="B6" s="279">
        <v>17669</v>
      </c>
      <c r="C6" s="102">
        <v>2543</v>
      </c>
      <c r="D6" s="102">
        <v>2488</v>
      </c>
      <c r="E6" s="102">
        <v>1985</v>
      </c>
      <c r="F6" s="102">
        <v>1312</v>
      </c>
      <c r="G6" s="102">
        <v>2735</v>
      </c>
      <c r="H6" s="102">
        <v>198</v>
      </c>
      <c r="I6" s="102">
        <v>2054</v>
      </c>
      <c r="J6" s="102">
        <v>2057</v>
      </c>
      <c r="K6" s="102">
        <v>785</v>
      </c>
      <c r="L6" s="102">
        <v>1019</v>
      </c>
      <c r="M6" s="102">
        <v>493</v>
      </c>
    </row>
    <row r="7" spans="1:13" s="41" customFormat="1" ht="15.75" customHeight="1">
      <c r="A7" s="93" t="s">
        <v>135</v>
      </c>
      <c r="B7" s="279">
        <v>11221</v>
      </c>
      <c r="C7" s="102">
        <v>1453</v>
      </c>
      <c r="D7" s="102">
        <v>1519</v>
      </c>
      <c r="E7" s="102">
        <v>1391</v>
      </c>
      <c r="F7" s="102">
        <v>1020</v>
      </c>
      <c r="G7" s="102">
        <v>1585</v>
      </c>
      <c r="H7" s="102">
        <v>145</v>
      </c>
      <c r="I7" s="102">
        <v>1273</v>
      </c>
      <c r="J7" s="102">
        <v>1219</v>
      </c>
      <c r="K7" s="102">
        <v>519</v>
      </c>
      <c r="L7" s="102">
        <v>738</v>
      </c>
      <c r="M7" s="102">
        <v>359</v>
      </c>
    </row>
    <row r="8" spans="1:13" s="41" customFormat="1" ht="15.75" customHeight="1">
      <c r="A8" s="93" t="s">
        <v>136</v>
      </c>
      <c r="B8" s="279">
        <v>1607</v>
      </c>
      <c r="C8" s="102">
        <v>250</v>
      </c>
      <c r="D8" s="102">
        <v>278</v>
      </c>
      <c r="E8" s="102">
        <v>196</v>
      </c>
      <c r="F8" s="102">
        <v>83</v>
      </c>
      <c r="G8" s="102">
        <v>219</v>
      </c>
      <c r="H8" s="102">
        <v>14</v>
      </c>
      <c r="I8" s="102">
        <v>156</v>
      </c>
      <c r="J8" s="102">
        <v>174</v>
      </c>
      <c r="K8" s="102">
        <v>68</v>
      </c>
      <c r="L8" s="102">
        <v>119</v>
      </c>
      <c r="M8" s="102">
        <v>50</v>
      </c>
    </row>
    <row r="9" spans="1:13" s="41" customFormat="1" ht="15.75" customHeight="1">
      <c r="A9" s="93" t="s">
        <v>261</v>
      </c>
      <c r="B9" s="279">
        <v>3689</v>
      </c>
      <c r="C9" s="102">
        <v>602</v>
      </c>
      <c r="D9" s="102">
        <v>513</v>
      </c>
      <c r="E9" s="102">
        <v>316</v>
      </c>
      <c r="F9" s="102">
        <v>180</v>
      </c>
      <c r="G9" s="102">
        <v>773</v>
      </c>
      <c r="H9" s="102">
        <v>35</v>
      </c>
      <c r="I9" s="102">
        <v>401</v>
      </c>
      <c r="J9" s="102">
        <v>517</v>
      </c>
      <c r="K9" s="102">
        <v>150</v>
      </c>
      <c r="L9" s="102">
        <v>129</v>
      </c>
      <c r="M9" s="102">
        <v>73</v>
      </c>
    </row>
    <row r="10" spans="1:13" s="41" customFormat="1" ht="15.75" customHeight="1">
      <c r="A10" s="67" t="s">
        <v>146</v>
      </c>
      <c r="B10" s="280">
        <v>13</v>
      </c>
      <c r="C10" s="87">
        <v>1</v>
      </c>
      <c r="D10" s="87">
        <v>2</v>
      </c>
      <c r="E10" s="87">
        <v>0</v>
      </c>
      <c r="F10" s="87">
        <v>7</v>
      </c>
      <c r="G10" s="87">
        <v>1</v>
      </c>
      <c r="H10" s="87">
        <v>0</v>
      </c>
      <c r="I10" s="87">
        <v>0</v>
      </c>
      <c r="J10" s="87">
        <v>2</v>
      </c>
      <c r="K10" s="87">
        <v>0</v>
      </c>
      <c r="L10" s="87">
        <v>0</v>
      </c>
      <c r="M10" s="87">
        <v>0</v>
      </c>
    </row>
    <row r="11" spans="1:13" s="41" customFormat="1" ht="15.75" customHeight="1">
      <c r="A11" s="67" t="s">
        <v>173</v>
      </c>
      <c r="B11" s="280">
        <v>5</v>
      </c>
      <c r="C11" s="87">
        <v>3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2</v>
      </c>
      <c r="J11" s="87">
        <v>0</v>
      </c>
      <c r="K11" s="87">
        <v>0</v>
      </c>
      <c r="L11" s="87">
        <v>0</v>
      </c>
      <c r="M11" s="87">
        <v>0</v>
      </c>
    </row>
    <row r="12" spans="1:13" s="41" customFormat="1" ht="15.75" customHeight="1">
      <c r="A12" s="67" t="s">
        <v>147</v>
      </c>
      <c r="B12" s="280">
        <v>14</v>
      </c>
      <c r="C12" s="87">
        <v>6</v>
      </c>
      <c r="D12" s="87">
        <v>1</v>
      </c>
      <c r="E12" s="87">
        <v>1</v>
      </c>
      <c r="F12" s="87">
        <v>1</v>
      </c>
      <c r="G12" s="87">
        <v>2</v>
      </c>
      <c r="H12" s="87">
        <v>0</v>
      </c>
      <c r="I12" s="87">
        <v>1</v>
      </c>
      <c r="J12" s="87">
        <v>2</v>
      </c>
      <c r="K12" s="87">
        <v>0</v>
      </c>
      <c r="L12" s="87">
        <v>0</v>
      </c>
      <c r="M12" s="87">
        <v>0</v>
      </c>
    </row>
    <row r="13" spans="1:13" s="41" customFormat="1" ht="15.75" customHeight="1">
      <c r="A13" s="67" t="s">
        <v>148</v>
      </c>
      <c r="B13" s="280">
        <v>824</v>
      </c>
      <c r="C13" s="87">
        <v>165</v>
      </c>
      <c r="D13" s="87">
        <v>105</v>
      </c>
      <c r="E13" s="87">
        <v>24</v>
      </c>
      <c r="F13" s="87">
        <v>57</v>
      </c>
      <c r="G13" s="87">
        <v>134</v>
      </c>
      <c r="H13" s="87">
        <v>20</v>
      </c>
      <c r="I13" s="87">
        <v>95</v>
      </c>
      <c r="J13" s="87">
        <v>106</v>
      </c>
      <c r="K13" s="87">
        <v>42</v>
      </c>
      <c r="L13" s="87">
        <v>43</v>
      </c>
      <c r="M13" s="87">
        <v>33</v>
      </c>
    </row>
    <row r="14" spans="1:13" s="41" customFormat="1" ht="15.75" customHeight="1">
      <c r="A14" s="67" t="s">
        <v>56</v>
      </c>
      <c r="B14" s="280">
        <v>1</v>
      </c>
      <c r="C14" s="87">
        <v>0</v>
      </c>
      <c r="D14" s="87">
        <v>0</v>
      </c>
      <c r="E14" s="87">
        <v>1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</row>
    <row r="15" spans="1:13" s="41" customFormat="1" ht="15.75" customHeight="1">
      <c r="A15" s="67" t="s">
        <v>149</v>
      </c>
      <c r="B15" s="280">
        <v>6</v>
      </c>
      <c r="C15" s="87">
        <v>0</v>
      </c>
      <c r="D15" s="87">
        <v>3</v>
      </c>
      <c r="E15" s="87">
        <v>0</v>
      </c>
      <c r="F15" s="87">
        <v>0</v>
      </c>
      <c r="G15" s="87">
        <v>1</v>
      </c>
      <c r="H15" s="87">
        <v>0</v>
      </c>
      <c r="I15" s="87">
        <v>0</v>
      </c>
      <c r="J15" s="87">
        <v>0</v>
      </c>
      <c r="K15" s="87">
        <v>0</v>
      </c>
      <c r="L15" s="87">
        <v>2</v>
      </c>
      <c r="M15" s="87">
        <v>0</v>
      </c>
    </row>
    <row r="16" spans="1:13" s="41" customFormat="1" ht="15.75" customHeight="1">
      <c r="A16" s="67" t="s">
        <v>150</v>
      </c>
      <c r="B16" s="280">
        <v>36</v>
      </c>
      <c r="C16" s="87">
        <v>7</v>
      </c>
      <c r="D16" s="87">
        <v>4</v>
      </c>
      <c r="E16" s="87">
        <v>2</v>
      </c>
      <c r="F16" s="87">
        <v>4</v>
      </c>
      <c r="G16" s="87">
        <v>6</v>
      </c>
      <c r="H16" s="87">
        <v>0</v>
      </c>
      <c r="I16" s="87">
        <v>2</v>
      </c>
      <c r="J16" s="87">
        <v>9</v>
      </c>
      <c r="K16" s="87">
        <v>1</v>
      </c>
      <c r="L16" s="87">
        <v>0</v>
      </c>
      <c r="M16" s="87">
        <v>1</v>
      </c>
    </row>
    <row r="17" spans="1:13" s="41" customFormat="1" ht="15.75" customHeight="1">
      <c r="A17" s="67" t="s">
        <v>151</v>
      </c>
      <c r="B17" s="280">
        <v>18</v>
      </c>
      <c r="C17" s="87">
        <v>3</v>
      </c>
      <c r="D17" s="87">
        <v>2</v>
      </c>
      <c r="E17" s="87">
        <v>0</v>
      </c>
      <c r="F17" s="87">
        <v>0</v>
      </c>
      <c r="G17" s="87">
        <v>12</v>
      </c>
      <c r="H17" s="87">
        <v>0</v>
      </c>
      <c r="I17" s="87">
        <v>1</v>
      </c>
      <c r="J17" s="87">
        <v>0</v>
      </c>
      <c r="K17" s="87">
        <v>0</v>
      </c>
      <c r="L17" s="87">
        <v>0</v>
      </c>
      <c r="M17" s="87">
        <v>0</v>
      </c>
    </row>
    <row r="18" spans="1:13" s="41" customFormat="1" ht="15.75" customHeight="1">
      <c r="A18" s="67" t="s">
        <v>167</v>
      </c>
      <c r="B18" s="280">
        <v>28</v>
      </c>
      <c r="C18" s="87">
        <v>6</v>
      </c>
      <c r="D18" s="87">
        <v>6</v>
      </c>
      <c r="E18" s="87">
        <v>3</v>
      </c>
      <c r="F18" s="87">
        <v>1</v>
      </c>
      <c r="G18" s="87">
        <v>3</v>
      </c>
      <c r="H18" s="87">
        <v>1</v>
      </c>
      <c r="I18" s="87">
        <v>3</v>
      </c>
      <c r="J18" s="87">
        <v>3</v>
      </c>
      <c r="K18" s="87">
        <v>1</v>
      </c>
      <c r="L18" s="87">
        <v>0</v>
      </c>
      <c r="M18" s="87">
        <v>1</v>
      </c>
    </row>
    <row r="19" spans="1:13" s="41" customFormat="1" ht="15.75" customHeight="1">
      <c r="A19" s="67" t="s">
        <v>152</v>
      </c>
      <c r="B19" s="280">
        <v>9</v>
      </c>
      <c r="C19" s="87">
        <v>2</v>
      </c>
      <c r="D19" s="87">
        <v>0</v>
      </c>
      <c r="E19" s="87">
        <v>1</v>
      </c>
      <c r="F19" s="87">
        <v>1</v>
      </c>
      <c r="G19" s="87">
        <v>3</v>
      </c>
      <c r="H19" s="87">
        <v>0</v>
      </c>
      <c r="I19" s="87">
        <v>1</v>
      </c>
      <c r="J19" s="87">
        <v>1</v>
      </c>
      <c r="K19" s="87">
        <v>0</v>
      </c>
      <c r="L19" s="87">
        <v>0</v>
      </c>
      <c r="M19" s="87">
        <v>0</v>
      </c>
    </row>
    <row r="20" spans="1:13" s="41" customFormat="1" ht="15.75" customHeight="1">
      <c r="A20" s="67" t="s">
        <v>315</v>
      </c>
      <c r="B20" s="280">
        <v>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1</v>
      </c>
      <c r="K20" s="87">
        <v>0</v>
      </c>
      <c r="L20" s="87">
        <v>0</v>
      </c>
      <c r="M20" s="87">
        <v>0</v>
      </c>
    </row>
    <row r="21" spans="1:13" s="41" customFormat="1" ht="15.75" customHeight="1">
      <c r="A21" s="67" t="s">
        <v>153</v>
      </c>
      <c r="B21" s="280">
        <v>627</v>
      </c>
      <c r="C21" s="87">
        <v>81</v>
      </c>
      <c r="D21" s="87">
        <v>114</v>
      </c>
      <c r="E21" s="87">
        <v>163</v>
      </c>
      <c r="F21" s="87">
        <v>15</v>
      </c>
      <c r="G21" s="87">
        <v>102</v>
      </c>
      <c r="H21" s="87">
        <v>2</v>
      </c>
      <c r="I21" s="87">
        <v>39</v>
      </c>
      <c r="J21" s="87">
        <v>82</v>
      </c>
      <c r="K21" s="87">
        <v>18</v>
      </c>
      <c r="L21" s="87">
        <v>7</v>
      </c>
      <c r="M21" s="87">
        <v>4</v>
      </c>
    </row>
    <row r="22" spans="1:13" s="41" customFormat="1" ht="15.75" customHeight="1">
      <c r="A22" s="67" t="s">
        <v>162</v>
      </c>
      <c r="B22" s="280">
        <v>59</v>
      </c>
      <c r="C22" s="87">
        <v>6</v>
      </c>
      <c r="D22" s="87">
        <v>7</v>
      </c>
      <c r="E22" s="87">
        <v>0</v>
      </c>
      <c r="F22" s="87">
        <v>4</v>
      </c>
      <c r="G22" s="87">
        <v>22</v>
      </c>
      <c r="H22" s="87">
        <v>0</v>
      </c>
      <c r="I22" s="87">
        <v>11</v>
      </c>
      <c r="J22" s="87">
        <v>7</v>
      </c>
      <c r="K22" s="87">
        <v>0</v>
      </c>
      <c r="L22" s="87">
        <v>2</v>
      </c>
      <c r="M22" s="87">
        <v>0</v>
      </c>
    </row>
    <row r="23" spans="1:13" s="41" customFormat="1" ht="15.75" customHeight="1">
      <c r="A23" s="67" t="s">
        <v>235</v>
      </c>
      <c r="B23" s="280">
        <v>2</v>
      </c>
      <c r="C23" s="87">
        <v>1</v>
      </c>
      <c r="D23" s="87">
        <v>0</v>
      </c>
      <c r="E23" s="87">
        <v>0</v>
      </c>
      <c r="F23" s="87">
        <v>0</v>
      </c>
      <c r="G23" s="87">
        <v>1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</row>
    <row r="24" spans="1:13" s="41" customFormat="1" ht="15.75" customHeight="1">
      <c r="A24" s="67" t="s">
        <v>67</v>
      </c>
      <c r="B24" s="280">
        <v>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1</v>
      </c>
    </row>
    <row r="25" spans="1:13" s="41" customFormat="1" ht="15.75" customHeight="1">
      <c r="A25" s="67" t="s">
        <v>154</v>
      </c>
      <c r="B25" s="280">
        <v>2</v>
      </c>
      <c r="C25" s="87">
        <v>0</v>
      </c>
      <c r="D25" s="87">
        <v>1</v>
      </c>
      <c r="E25" s="87">
        <v>0</v>
      </c>
      <c r="F25" s="87">
        <v>1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</row>
    <row r="26" spans="1:13" s="41" customFormat="1" ht="15.75" customHeight="1">
      <c r="A26" s="67" t="s">
        <v>181</v>
      </c>
      <c r="B26" s="280">
        <v>2</v>
      </c>
      <c r="C26" s="87">
        <v>0</v>
      </c>
      <c r="D26" s="87">
        <v>1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1</v>
      </c>
      <c r="L26" s="87">
        <v>0</v>
      </c>
      <c r="M26" s="87">
        <v>0</v>
      </c>
    </row>
    <row r="27" spans="1:13" s="41" customFormat="1" ht="15.75" customHeight="1">
      <c r="A27" s="67" t="s">
        <v>155</v>
      </c>
      <c r="B27" s="280">
        <v>36</v>
      </c>
      <c r="C27" s="87">
        <v>3</v>
      </c>
      <c r="D27" s="87">
        <v>12</v>
      </c>
      <c r="E27" s="87">
        <v>1</v>
      </c>
      <c r="F27" s="87">
        <v>5</v>
      </c>
      <c r="G27" s="87">
        <v>5</v>
      </c>
      <c r="H27" s="87">
        <v>0</v>
      </c>
      <c r="I27" s="87">
        <v>2</v>
      </c>
      <c r="J27" s="87">
        <v>5</v>
      </c>
      <c r="K27" s="87">
        <v>0</v>
      </c>
      <c r="L27" s="87">
        <v>2</v>
      </c>
      <c r="M27" s="87">
        <v>1</v>
      </c>
    </row>
    <row r="28" spans="1:13" s="41" customFormat="1" ht="15.75" customHeight="1">
      <c r="A28" s="67" t="s">
        <v>156</v>
      </c>
      <c r="B28" s="280">
        <v>4</v>
      </c>
      <c r="C28" s="87">
        <v>1</v>
      </c>
      <c r="D28" s="87">
        <v>0</v>
      </c>
      <c r="E28" s="87">
        <v>0</v>
      </c>
      <c r="F28" s="87">
        <v>1</v>
      </c>
      <c r="G28" s="87">
        <v>1</v>
      </c>
      <c r="H28" s="87">
        <v>0</v>
      </c>
      <c r="I28" s="87">
        <v>0</v>
      </c>
      <c r="J28" s="87">
        <v>0</v>
      </c>
      <c r="K28" s="87">
        <v>0</v>
      </c>
      <c r="L28" s="87">
        <v>1</v>
      </c>
      <c r="M28" s="87">
        <v>0</v>
      </c>
    </row>
    <row r="29" spans="1:13" s="41" customFormat="1" ht="15.75" customHeight="1">
      <c r="A29" s="67" t="s">
        <v>157</v>
      </c>
      <c r="B29" s="280">
        <v>1215</v>
      </c>
      <c r="C29" s="87">
        <v>191</v>
      </c>
      <c r="D29" s="87">
        <v>124</v>
      </c>
      <c r="E29" s="87">
        <v>67</v>
      </c>
      <c r="F29" s="87">
        <v>67</v>
      </c>
      <c r="G29" s="87">
        <v>196</v>
      </c>
      <c r="H29" s="87">
        <v>12</v>
      </c>
      <c r="I29" s="87">
        <v>181</v>
      </c>
      <c r="J29" s="87">
        <v>231</v>
      </c>
      <c r="K29" s="87">
        <v>59</v>
      </c>
      <c r="L29" s="87">
        <v>60</v>
      </c>
      <c r="M29" s="87">
        <v>27</v>
      </c>
    </row>
    <row r="30" spans="1:13" s="41" customFormat="1" ht="15.75" customHeight="1">
      <c r="A30" s="67" t="s">
        <v>186</v>
      </c>
      <c r="B30" s="280">
        <v>20</v>
      </c>
      <c r="C30" s="87">
        <v>3</v>
      </c>
      <c r="D30" s="87">
        <v>4</v>
      </c>
      <c r="E30" s="87">
        <v>2</v>
      </c>
      <c r="F30" s="87">
        <v>1</v>
      </c>
      <c r="G30" s="87">
        <v>0</v>
      </c>
      <c r="H30" s="87">
        <v>0</v>
      </c>
      <c r="I30" s="87">
        <v>3</v>
      </c>
      <c r="J30" s="87">
        <v>2</v>
      </c>
      <c r="K30" s="87">
        <v>2</v>
      </c>
      <c r="L30" s="87">
        <v>2</v>
      </c>
      <c r="M30" s="87">
        <v>1</v>
      </c>
    </row>
    <row r="31" spans="1:13" s="41" customFormat="1" ht="15.75" customHeight="1">
      <c r="A31" s="67" t="s">
        <v>158</v>
      </c>
      <c r="B31" s="280">
        <v>423</v>
      </c>
      <c r="C31" s="87">
        <v>78</v>
      </c>
      <c r="D31" s="87">
        <v>105</v>
      </c>
      <c r="E31" s="87">
        <v>41</v>
      </c>
      <c r="F31" s="87">
        <v>3</v>
      </c>
      <c r="G31" s="87">
        <v>135</v>
      </c>
      <c r="H31" s="87">
        <v>0</v>
      </c>
      <c r="I31" s="87">
        <v>26</v>
      </c>
      <c r="J31" s="87">
        <v>19</v>
      </c>
      <c r="K31" s="87">
        <v>14</v>
      </c>
      <c r="L31" s="87">
        <v>0</v>
      </c>
      <c r="M31" s="87">
        <v>2</v>
      </c>
    </row>
    <row r="32" spans="1:13" s="41" customFormat="1" ht="15.75" customHeight="1">
      <c r="A32" s="67" t="s">
        <v>244</v>
      </c>
      <c r="B32" s="280">
        <v>9</v>
      </c>
      <c r="C32" s="87">
        <v>1</v>
      </c>
      <c r="D32" s="87">
        <v>2</v>
      </c>
      <c r="E32" s="87">
        <v>0</v>
      </c>
      <c r="F32" s="87">
        <v>1</v>
      </c>
      <c r="G32" s="87">
        <v>2</v>
      </c>
      <c r="H32" s="87">
        <v>0</v>
      </c>
      <c r="I32" s="87">
        <v>1</v>
      </c>
      <c r="J32" s="87">
        <v>0</v>
      </c>
      <c r="K32" s="87">
        <v>1</v>
      </c>
      <c r="L32" s="87">
        <v>0</v>
      </c>
      <c r="M32" s="87">
        <v>1</v>
      </c>
    </row>
    <row r="33" spans="1:13" s="41" customFormat="1" ht="15.75" customHeight="1">
      <c r="A33" s="67" t="s">
        <v>159</v>
      </c>
      <c r="B33" s="280">
        <v>5</v>
      </c>
      <c r="C33" s="87">
        <v>1</v>
      </c>
      <c r="D33" s="87">
        <v>0</v>
      </c>
      <c r="E33" s="87">
        <v>0</v>
      </c>
      <c r="F33" s="87">
        <v>2</v>
      </c>
      <c r="G33" s="87">
        <v>1</v>
      </c>
      <c r="H33" s="87">
        <v>0</v>
      </c>
      <c r="I33" s="87">
        <v>0</v>
      </c>
      <c r="J33" s="87">
        <v>1</v>
      </c>
      <c r="K33" s="87">
        <v>0</v>
      </c>
      <c r="L33" s="87">
        <v>0</v>
      </c>
      <c r="M33" s="87">
        <v>0</v>
      </c>
    </row>
    <row r="34" spans="1:13" s="41" customFormat="1" ht="15.75" customHeight="1">
      <c r="A34" s="67" t="s">
        <v>247</v>
      </c>
      <c r="B34" s="280">
        <v>23</v>
      </c>
      <c r="C34" s="87">
        <v>5</v>
      </c>
      <c r="D34" s="87">
        <v>5</v>
      </c>
      <c r="E34" s="87">
        <v>3</v>
      </c>
      <c r="F34" s="87">
        <v>4</v>
      </c>
      <c r="G34" s="87">
        <v>5</v>
      </c>
      <c r="H34" s="87">
        <v>0</v>
      </c>
      <c r="I34" s="87">
        <v>0</v>
      </c>
      <c r="J34" s="87">
        <v>0</v>
      </c>
      <c r="K34" s="87">
        <v>0</v>
      </c>
      <c r="L34" s="87">
        <v>1</v>
      </c>
      <c r="M34" s="87">
        <v>0</v>
      </c>
    </row>
    <row r="35" spans="1:13" s="41" customFormat="1" ht="15.75" customHeight="1">
      <c r="A35" s="67" t="s">
        <v>164</v>
      </c>
      <c r="B35" s="280">
        <v>21</v>
      </c>
      <c r="C35" s="87">
        <v>2</v>
      </c>
      <c r="D35" s="87">
        <v>1</v>
      </c>
      <c r="E35" s="87">
        <v>1</v>
      </c>
      <c r="F35" s="87">
        <v>0</v>
      </c>
      <c r="G35" s="87">
        <v>5</v>
      </c>
      <c r="H35" s="87">
        <v>0</v>
      </c>
      <c r="I35" s="87">
        <v>7</v>
      </c>
      <c r="J35" s="87">
        <v>2</v>
      </c>
      <c r="K35" s="87">
        <v>2</v>
      </c>
      <c r="L35" s="87">
        <v>1</v>
      </c>
      <c r="M35" s="87">
        <v>0</v>
      </c>
    </row>
    <row r="36" spans="1:13" s="41" customFormat="1" ht="15.75" customHeight="1">
      <c r="A36" s="67" t="s">
        <v>160</v>
      </c>
      <c r="B36" s="280">
        <v>242</v>
      </c>
      <c r="C36" s="87">
        <v>29</v>
      </c>
      <c r="D36" s="87">
        <v>7</v>
      </c>
      <c r="E36" s="87">
        <v>4</v>
      </c>
      <c r="F36" s="87">
        <v>3</v>
      </c>
      <c r="G36" s="87">
        <v>127</v>
      </c>
      <c r="H36" s="87">
        <v>0</v>
      </c>
      <c r="I36" s="87">
        <v>23</v>
      </c>
      <c r="J36" s="87">
        <v>32</v>
      </c>
      <c r="K36" s="87">
        <v>9</v>
      </c>
      <c r="L36" s="87">
        <v>8</v>
      </c>
      <c r="M36" s="87">
        <v>0</v>
      </c>
    </row>
    <row r="37" spans="1:13" s="41" customFormat="1" ht="15.75" customHeight="1">
      <c r="A37" s="67" t="s">
        <v>249</v>
      </c>
      <c r="B37" s="280">
        <v>10</v>
      </c>
      <c r="C37" s="87">
        <v>1</v>
      </c>
      <c r="D37" s="87">
        <v>2</v>
      </c>
      <c r="E37" s="87">
        <v>0</v>
      </c>
      <c r="F37" s="87">
        <v>1</v>
      </c>
      <c r="G37" s="87">
        <v>2</v>
      </c>
      <c r="H37" s="87">
        <v>0</v>
      </c>
      <c r="I37" s="87">
        <v>1</v>
      </c>
      <c r="J37" s="87">
        <v>3</v>
      </c>
      <c r="K37" s="87">
        <v>0</v>
      </c>
      <c r="L37" s="87">
        <v>0</v>
      </c>
      <c r="M37" s="87">
        <v>0</v>
      </c>
    </row>
    <row r="38" spans="1:13" s="41" customFormat="1" ht="15.75" customHeight="1">
      <c r="A38" s="67" t="s">
        <v>193</v>
      </c>
      <c r="B38" s="280">
        <v>33</v>
      </c>
      <c r="C38" s="87">
        <v>6</v>
      </c>
      <c r="D38" s="87">
        <v>5</v>
      </c>
      <c r="E38" s="87">
        <v>2</v>
      </c>
      <c r="F38" s="87">
        <v>1</v>
      </c>
      <c r="G38" s="87">
        <v>7</v>
      </c>
      <c r="H38" s="87">
        <v>0</v>
      </c>
      <c r="I38" s="87">
        <v>2</v>
      </c>
      <c r="J38" s="87">
        <v>9</v>
      </c>
      <c r="K38" s="87">
        <v>0</v>
      </c>
      <c r="L38" s="87">
        <v>0</v>
      </c>
      <c r="M38" s="87">
        <v>1</v>
      </c>
    </row>
    <row r="39" spans="1:13" s="41" customFormat="1" ht="15.75" customHeight="1">
      <c r="A39" s="93" t="s">
        <v>276</v>
      </c>
      <c r="B39" s="279">
        <v>773</v>
      </c>
      <c r="C39" s="102">
        <v>153</v>
      </c>
      <c r="D39" s="102">
        <v>125</v>
      </c>
      <c r="E39" s="102">
        <v>48</v>
      </c>
      <c r="F39" s="102">
        <v>10</v>
      </c>
      <c r="G39" s="102">
        <v>90</v>
      </c>
      <c r="H39" s="102">
        <v>1</v>
      </c>
      <c r="I39" s="102">
        <v>181</v>
      </c>
      <c r="J39" s="102">
        <v>112</v>
      </c>
      <c r="K39" s="102">
        <v>33</v>
      </c>
      <c r="L39" s="102">
        <v>15</v>
      </c>
      <c r="M39" s="102">
        <v>5</v>
      </c>
    </row>
    <row r="40" spans="1:13" s="41" customFormat="1" ht="15.75" customHeight="1">
      <c r="A40" s="67" t="s">
        <v>309</v>
      </c>
      <c r="B40" s="280">
        <v>2</v>
      </c>
      <c r="C40" s="87">
        <v>0</v>
      </c>
      <c r="D40" s="87">
        <v>1</v>
      </c>
      <c r="E40" s="87">
        <v>1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</row>
    <row r="41" spans="1:13" s="41" customFormat="1" ht="15.75" customHeight="1">
      <c r="A41" s="67" t="s">
        <v>236</v>
      </c>
      <c r="B41" s="280">
        <v>2</v>
      </c>
      <c r="C41" s="87">
        <v>0</v>
      </c>
      <c r="D41" s="87">
        <v>1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1</v>
      </c>
      <c r="K41" s="87">
        <v>0</v>
      </c>
      <c r="L41" s="87">
        <v>0</v>
      </c>
      <c r="M41" s="87">
        <v>0</v>
      </c>
    </row>
    <row r="42" spans="1:13" s="41" customFormat="1" ht="15.75" customHeight="1">
      <c r="A42" s="67" t="s">
        <v>161</v>
      </c>
      <c r="B42" s="280">
        <v>136</v>
      </c>
      <c r="C42" s="87">
        <v>31</v>
      </c>
      <c r="D42" s="87">
        <v>16</v>
      </c>
      <c r="E42" s="87">
        <v>6</v>
      </c>
      <c r="F42" s="87">
        <v>1</v>
      </c>
      <c r="G42" s="87">
        <v>16</v>
      </c>
      <c r="H42" s="87">
        <v>0</v>
      </c>
      <c r="I42" s="87">
        <v>42</v>
      </c>
      <c r="J42" s="87">
        <v>21</v>
      </c>
      <c r="K42" s="87">
        <v>2</v>
      </c>
      <c r="L42" s="87">
        <v>1</v>
      </c>
      <c r="M42" s="87">
        <v>0</v>
      </c>
    </row>
    <row r="43" spans="1:13" s="41" customFormat="1" ht="15.75" customHeight="1">
      <c r="A43" s="67" t="s">
        <v>240</v>
      </c>
      <c r="B43" s="280">
        <v>180</v>
      </c>
      <c r="C43" s="87">
        <v>47</v>
      </c>
      <c r="D43" s="87">
        <v>26</v>
      </c>
      <c r="E43" s="87">
        <v>11</v>
      </c>
      <c r="F43" s="87">
        <v>1</v>
      </c>
      <c r="G43" s="87">
        <v>26</v>
      </c>
      <c r="H43" s="87">
        <v>0</v>
      </c>
      <c r="I43" s="87">
        <v>41</v>
      </c>
      <c r="J43" s="87">
        <v>13</v>
      </c>
      <c r="K43" s="87">
        <v>10</v>
      </c>
      <c r="L43" s="87">
        <v>5</v>
      </c>
      <c r="M43" s="87">
        <v>0</v>
      </c>
    </row>
    <row r="44" spans="1:13" s="41" customFormat="1" ht="15.75" customHeight="1">
      <c r="A44" s="67" t="s">
        <v>163</v>
      </c>
      <c r="B44" s="280">
        <v>60</v>
      </c>
      <c r="C44" s="87">
        <v>13</v>
      </c>
      <c r="D44" s="87">
        <v>8</v>
      </c>
      <c r="E44" s="87">
        <v>8</v>
      </c>
      <c r="F44" s="87">
        <v>1</v>
      </c>
      <c r="G44" s="87">
        <v>7</v>
      </c>
      <c r="H44" s="87">
        <v>0</v>
      </c>
      <c r="I44" s="87">
        <v>8</v>
      </c>
      <c r="J44" s="87">
        <v>14</v>
      </c>
      <c r="K44" s="87">
        <v>1</v>
      </c>
      <c r="L44" s="87">
        <v>0</v>
      </c>
      <c r="M44" s="87">
        <v>0</v>
      </c>
    </row>
    <row r="45" spans="1:13" s="41" customFormat="1" ht="15.75" customHeight="1">
      <c r="A45" s="67" t="s">
        <v>243</v>
      </c>
      <c r="B45" s="280">
        <v>9</v>
      </c>
      <c r="C45" s="87">
        <v>1</v>
      </c>
      <c r="D45" s="87">
        <v>1</v>
      </c>
      <c r="E45" s="87">
        <v>2</v>
      </c>
      <c r="F45" s="87">
        <v>0</v>
      </c>
      <c r="G45" s="87">
        <v>3</v>
      </c>
      <c r="H45" s="87">
        <v>0</v>
      </c>
      <c r="I45" s="87">
        <v>1</v>
      </c>
      <c r="J45" s="87">
        <v>1</v>
      </c>
      <c r="K45" s="87">
        <v>0</v>
      </c>
      <c r="L45" s="87">
        <v>0</v>
      </c>
      <c r="M45" s="87">
        <v>0</v>
      </c>
    </row>
    <row r="46" spans="1:13" s="41" customFormat="1" ht="15.75" customHeight="1">
      <c r="A46" s="67" t="s">
        <v>187</v>
      </c>
      <c r="B46" s="280">
        <v>14</v>
      </c>
      <c r="C46" s="87">
        <v>3</v>
      </c>
      <c r="D46" s="87">
        <v>3</v>
      </c>
      <c r="E46" s="87">
        <v>1</v>
      </c>
      <c r="F46" s="87">
        <v>0</v>
      </c>
      <c r="G46" s="87">
        <v>3</v>
      </c>
      <c r="H46" s="87">
        <v>0</v>
      </c>
      <c r="I46" s="87">
        <v>1</v>
      </c>
      <c r="J46" s="87">
        <v>2</v>
      </c>
      <c r="K46" s="87">
        <v>0</v>
      </c>
      <c r="L46" s="87">
        <v>1</v>
      </c>
      <c r="M46" s="87">
        <v>0</v>
      </c>
    </row>
    <row r="47" spans="1:13" s="41" customFormat="1" ht="15.75" customHeight="1">
      <c r="A47" s="67" t="s">
        <v>245</v>
      </c>
      <c r="B47" s="280">
        <v>113</v>
      </c>
      <c r="C47" s="87">
        <v>20</v>
      </c>
      <c r="D47" s="87">
        <v>29</v>
      </c>
      <c r="E47" s="87">
        <v>15</v>
      </c>
      <c r="F47" s="87">
        <v>4</v>
      </c>
      <c r="G47" s="87">
        <v>18</v>
      </c>
      <c r="H47" s="87">
        <v>0</v>
      </c>
      <c r="I47" s="87">
        <v>12</v>
      </c>
      <c r="J47" s="87">
        <v>9</v>
      </c>
      <c r="K47" s="87">
        <v>3</v>
      </c>
      <c r="L47" s="87">
        <v>1</v>
      </c>
      <c r="M47" s="87">
        <v>2</v>
      </c>
    </row>
    <row r="48" spans="1:13" s="41" customFormat="1" ht="15.75" customHeight="1">
      <c r="A48" s="67" t="s">
        <v>165</v>
      </c>
      <c r="B48" s="280">
        <v>239</v>
      </c>
      <c r="C48" s="87">
        <v>36</v>
      </c>
      <c r="D48" s="87">
        <v>39</v>
      </c>
      <c r="E48" s="87">
        <v>2</v>
      </c>
      <c r="F48" s="87">
        <v>2</v>
      </c>
      <c r="G48" s="87">
        <v>15</v>
      </c>
      <c r="H48" s="87">
        <v>0</v>
      </c>
      <c r="I48" s="87">
        <v>74</v>
      </c>
      <c r="J48" s="87">
        <v>47</v>
      </c>
      <c r="K48" s="87">
        <v>16</v>
      </c>
      <c r="L48" s="87">
        <v>5</v>
      </c>
      <c r="M48" s="87">
        <v>3</v>
      </c>
    </row>
    <row r="49" spans="1:13" s="41" customFormat="1" ht="15.75" customHeight="1">
      <c r="A49" s="67" t="s">
        <v>192</v>
      </c>
      <c r="B49" s="280">
        <v>18</v>
      </c>
      <c r="C49" s="87">
        <v>2</v>
      </c>
      <c r="D49" s="87">
        <v>1</v>
      </c>
      <c r="E49" s="87">
        <v>2</v>
      </c>
      <c r="F49" s="87">
        <v>1</v>
      </c>
      <c r="G49" s="87">
        <v>2</v>
      </c>
      <c r="H49" s="87">
        <v>1</v>
      </c>
      <c r="I49" s="87">
        <v>2</v>
      </c>
      <c r="J49" s="87">
        <v>4</v>
      </c>
      <c r="K49" s="87">
        <v>1</v>
      </c>
      <c r="L49" s="87">
        <v>2</v>
      </c>
      <c r="M49" s="87">
        <v>0</v>
      </c>
    </row>
    <row r="50" spans="1:13" s="41" customFormat="1" ht="15.75" customHeight="1">
      <c r="A50" s="93" t="s">
        <v>277</v>
      </c>
      <c r="B50" s="279">
        <v>59</v>
      </c>
      <c r="C50" s="102">
        <v>12</v>
      </c>
      <c r="D50" s="102">
        <v>12</v>
      </c>
      <c r="E50" s="102">
        <v>3</v>
      </c>
      <c r="F50" s="102">
        <v>0</v>
      </c>
      <c r="G50" s="102">
        <v>7</v>
      </c>
      <c r="H50" s="102">
        <v>2</v>
      </c>
      <c r="I50" s="102">
        <v>9</v>
      </c>
      <c r="J50" s="102">
        <v>9</v>
      </c>
      <c r="K50" s="102">
        <v>2</v>
      </c>
      <c r="L50" s="102">
        <v>2</v>
      </c>
      <c r="M50" s="102">
        <v>1</v>
      </c>
    </row>
    <row r="51" spans="1:13" s="41" customFormat="1" ht="15.75" customHeight="1">
      <c r="A51" s="67" t="s">
        <v>168</v>
      </c>
      <c r="B51" s="280">
        <v>7</v>
      </c>
      <c r="C51" s="87">
        <v>4</v>
      </c>
      <c r="D51" s="87">
        <v>1</v>
      </c>
      <c r="E51" s="87">
        <v>0</v>
      </c>
      <c r="F51" s="87">
        <v>0</v>
      </c>
      <c r="G51" s="87">
        <v>0</v>
      </c>
      <c r="H51" s="87">
        <v>1</v>
      </c>
      <c r="I51" s="87">
        <v>0</v>
      </c>
      <c r="J51" s="87">
        <v>1</v>
      </c>
      <c r="K51" s="87">
        <v>0</v>
      </c>
      <c r="L51" s="87">
        <v>0</v>
      </c>
      <c r="M51" s="87">
        <v>0</v>
      </c>
    </row>
    <row r="52" spans="1:13" s="41" customFormat="1" ht="15.75" customHeight="1">
      <c r="A52" s="67" t="s">
        <v>169</v>
      </c>
      <c r="B52" s="280">
        <v>3</v>
      </c>
      <c r="C52" s="87">
        <v>2</v>
      </c>
      <c r="D52" s="87">
        <v>1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</row>
    <row r="53" spans="1:13" s="41" customFormat="1" ht="15.75" customHeight="1">
      <c r="A53" s="67" t="s">
        <v>308</v>
      </c>
      <c r="B53" s="280">
        <v>1</v>
      </c>
      <c r="C53" s="87">
        <v>0</v>
      </c>
      <c r="D53" s="87">
        <v>1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</row>
    <row r="54" spans="1:13" s="41" customFormat="1" ht="15.75" customHeight="1">
      <c r="A54" s="67" t="s">
        <v>251</v>
      </c>
      <c r="B54" s="280">
        <v>9</v>
      </c>
      <c r="C54" s="87">
        <v>0</v>
      </c>
      <c r="D54" s="87">
        <v>1</v>
      </c>
      <c r="E54" s="87">
        <v>0</v>
      </c>
      <c r="F54" s="87">
        <v>0</v>
      </c>
      <c r="G54" s="87">
        <v>2</v>
      </c>
      <c r="H54" s="87">
        <v>0</v>
      </c>
      <c r="I54" s="87">
        <v>4</v>
      </c>
      <c r="J54" s="87">
        <v>1</v>
      </c>
      <c r="K54" s="87">
        <v>1</v>
      </c>
      <c r="L54" s="87">
        <v>0</v>
      </c>
      <c r="M54" s="87">
        <v>0</v>
      </c>
    </row>
    <row r="55" spans="1:13" s="41" customFormat="1" ht="15.75" customHeight="1">
      <c r="A55" s="67" t="s">
        <v>317</v>
      </c>
      <c r="B55" s="280">
        <v>1</v>
      </c>
      <c r="C55" s="87">
        <v>1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</row>
    <row r="56" spans="1:13" s="41" customFormat="1" ht="15.75" customHeight="1">
      <c r="A56" s="67" t="s">
        <v>238</v>
      </c>
      <c r="B56" s="280">
        <v>1</v>
      </c>
      <c r="C56" s="87">
        <v>0</v>
      </c>
      <c r="D56" s="87">
        <v>1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</row>
    <row r="57" spans="1:13" s="41" customFormat="1" ht="15.75" customHeight="1">
      <c r="A57" s="67" t="s">
        <v>300</v>
      </c>
      <c r="B57" s="280">
        <v>3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1</v>
      </c>
      <c r="K57" s="87">
        <v>1</v>
      </c>
      <c r="L57" s="87">
        <v>1</v>
      </c>
      <c r="M57" s="87">
        <v>0</v>
      </c>
    </row>
    <row r="58" spans="1:13" s="41" customFormat="1" ht="15.75" customHeight="1">
      <c r="A58" s="67" t="s">
        <v>182</v>
      </c>
      <c r="B58" s="280">
        <v>7</v>
      </c>
      <c r="C58" s="87">
        <v>0</v>
      </c>
      <c r="D58" s="87">
        <v>2</v>
      </c>
      <c r="E58" s="87">
        <v>1</v>
      </c>
      <c r="F58" s="87">
        <v>0</v>
      </c>
      <c r="G58" s="87">
        <v>1</v>
      </c>
      <c r="H58" s="87">
        <v>0</v>
      </c>
      <c r="I58" s="87">
        <v>0</v>
      </c>
      <c r="J58" s="87">
        <v>2</v>
      </c>
      <c r="K58" s="87">
        <v>0</v>
      </c>
      <c r="L58" s="87">
        <v>1</v>
      </c>
      <c r="M58" s="87">
        <v>0</v>
      </c>
    </row>
    <row r="59" spans="1:13" s="41" customFormat="1" ht="15.75" customHeight="1">
      <c r="A59" s="67" t="s">
        <v>318</v>
      </c>
      <c r="B59" s="280">
        <v>1</v>
      </c>
      <c r="C59" s="87">
        <v>0</v>
      </c>
      <c r="D59" s="87">
        <v>0</v>
      </c>
      <c r="E59" s="87">
        <v>1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</row>
    <row r="60" spans="1:13" s="41" customFormat="1" ht="15.75" customHeight="1">
      <c r="A60" s="67" t="s">
        <v>26</v>
      </c>
      <c r="B60" s="280">
        <v>3</v>
      </c>
      <c r="C60" s="87">
        <v>0</v>
      </c>
      <c r="D60" s="87">
        <v>1</v>
      </c>
      <c r="E60" s="87">
        <v>0</v>
      </c>
      <c r="F60" s="87">
        <v>0</v>
      </c>
      <c r="G60" s="87">
        <v>0</v>
      </c>
      <c r="H60" s="87">
        <v>0</v>
      </c>
      <c r="I60" s="87">
        <v>2</v>
      </c>
      <c r="J60" s="87">
        <v>0</v>
      </c>
      <c r="K60" s="87">
        <v>0</v>
      </c>
      <c r="L60" s="87">
        <v>0</v>
      </c>
      <c r="M60" s="87">
        <v>0</v>
      </c>
    </row>
    <row r="61" spans="1:13" s="41" customFormat="1" ht="15.75" customHeight="1">
      <c r="A61" s="67" t="s">
        <v>62</v>
      </c>
      <c r="B61" s="280">
        <v>1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1</v>
      </c>
      <c r="K61" s="87">
        <v>0</v>
      </c>
      <c r="L61" s="87">
        <v>0</v>
      </c>
      <c r="M61" s="87">
        <v>0</v>
      </c>
    </row>
    <row r="62" spans="1:13" s="41" customFormat="1" ht="15.75" customHeight="1">
      <c r="A62" s="67" t="s">
        <v>246</v>
      </c>
      <c r="B62" s="280">
        <v>1</v>
      </c>
      <c r="C62" s="87">
        <v>0</v>
      </c>
      <c r="D62" s="87">
        <v>0</v>
      </c>
      <c r="E62" s="87">
        <v>0</v>
      </c>
      <c r="F62" s="87">
        <v>0</v>
      </c>
      <c r="G62" s="87">
        <v>1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</row>
    <row r="63" spans="1:13" s="41" customFormat="1" ht="15.75" customHeight="1">
      <c r="A63" s="67" t="s">
        <v>1</v>
      </c>
      <c r="B63" s="280">
        <v>10</v>
      </c>
      <c r="C63" s="87">
        <v>5</v>
      </c>
      <c r="D63" s="87">
        <v>0</v>
      </c>
      <c r="E63" s="87">
        <v>0</v>
      </c>
      <c r="F63" s="87">
        <v>0</v>
      </c>
      <c r="G63" s="87">
        <v>1</v>
      </c>
      <c r="H63" s="87">
        <v>0</v>
      </c>
      <c r="I63" s="87">
        <v>2</v>
      </c>
      <c r="J63" s="87">
        <v>2</v>
      </c>
      <c r="K63" s="87">
        <v>0</v>
      </c>
      <c r="L63" s="87">
        <v>0</v>
      </c>
      <c r="M63" s="87">
        <v>0</v>
      </c>
    </row>
    <row r="64" spans="1:13" s="41" customFormat="1" ht="15.75" customHeight="1">
      <c r="A64" s="67" t="s">
        <v>189</v>
      </c>
      <c r="B64" s="280">
        <v>2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1</v>
      </c>
      <c r="I64" s="87">
        <v>0</v>
      </c>
      <c r="J64" s="87">
        <v>0</v>
      </c>
      <c r="K64" s="87">
        <v>0</v>
      </c>
      <c r="L64" s="87">
        <v>0</v>
      </c>
      <c r="M64" s="87">
        <v>1</v>
      </c>
    </row>
    <row r="65" spans="1:13" s="41" customFormat="1" ht="15.75" customHeight="1">
      <c r="A65" s="67" t="s">
        <v>191</v>
      </c>
      <c r="B65" s="280">
        <v>9</v>
      </c>
      <c r="C65" s="87">
        <v>0</v>
      </c>
      <c r="D65" s="87">
        <v>4</v>
      </c>
      <c r="E65" s="87">
        <v>1</v>
      </c>
      <c r="F65" s="87">
        <v>0</v>
      </c>
      <c r="G65" s="87">
        <v>2</v>
      </c>
      <c r="H65" s="87">
        <v>0</v>
      </c>
      <c r="I65" s="87">
        <v>1</v>
      </c>
      <c r="J65" s="87">
        <v>1</v>
      </c>
      <c r="K65" s="87">
        <v>0</v>
      </c>
      <c r="L65" s="87">
        <v>0</v>
      </c>
      <c r="M65" s="87">
        <v>0</v>
      </c>
    </row>
    <row r="66" spans="1:13" s="41" customFormat="1" ht="15.75" customHeight="1">
      <c r="A66" s="93" t="s">
        <v>278</v>
      </c>
      <c r="B66" s="279">
        <v>168</v>
      </c>
      <c r="C66" s="102">
        <v>33</v>
      </c>
      <c r="D66" s="102">
        <v>20</v>
      </c>
      <c r="E66" s="102">
        <v>11</v>
      </c>
      <c r="F66" s="102">
        <v>13</v>
      </c>
      <c r="G66" s="102">
        <v>29</v>
      </c>
      <c r="H66" s="102">
        <v>0</v>
      </c>
      <c r="I66" s="102">
        <v>19</v>
      </c>
      <c r="J66" s="102">
        <v>20</v>
      </c>
      <c r="K66" s="102">
        <v>6</v>
      </c>
      <c r="L66" s="102">
        <v>13</v>
      </c>
      <c r="M66" s="102">
        <v>4</v>
      </c>
    </row>
    <row r="67" spans="1:13" s="41" customFormat="1" ht="15.75" customHeight="1">
      <c r="A67" s="67" t="s">
        <v>170</v>
      </c>
      <c r="B67" s="280">
        <v>3</v>
      </c>
      <c r="C67" s="87">
        <v>2</v>
      </c>
      <c r="D67" s="87">
        <v>1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</row>
    <row r="68" spans="1:13" s="41" customFormat="1" ht="15.75" customHeight="1">
      <c r="A68" s="67" t="s">
        <v>172</v>
      </c>
      <c r="B68" s="280">
        <v>64</v>
      </c>
      <c r="C68" s="87">
        <v>13</v>
      </c>
      <c r="D68" s="87">
        <v>6</v>
      </c>
      <c r="E68" s="87">
        <v>4</v>
      </c>
      <c r="F68" s="87">
        <v>3</v>
      </c>
      <c r="G68" s="87">
        <v>9</v>
      </c>
      <c r="H68" s="87">
        <v>0</v>
      </c>
      <c r="I68" s="87">
        <v>8</v>
      </c>
      <c r="J68" s="87">
        <v>7</v>
      </c>
      <c r="K68" s="87">
        <v>3</v>
      </c>
      <c r="L68" s="87">
        <v>9</v>
      </c>
      <c r="M68" s="87">
        <v>2</v>
      </c>
    </row>
    <row r="69" spans="1:13" s="41" customFormat="1" ht="15.75" customHeight="1">
      <c r="A69" s="67" t="s">
        <v>174</v>
      </c>
      <c r="B69" s="280">
        <v>2</v>
      </c>
      <c r="C69" s="87">
        <v>1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1</v>
      </c>
      <c r="J69" s="87">
        <v>0</v>
      </c>
      <c r="K69" s="87">
        <v>0</v>
      </c>
      <c r="L69" s="87">
        <v>0</v>
      </c>
      <c r="M69" s="87">
        <v>0</v>
      </c>
    </row>
    <row r="70" spans="1:13" s="41" customFormat="1" ht="15.75" customHeight="1">
      <c r="A70" s="67" t="s">
        <v>237</v>
      </c>
      <c r="B70" s="280">
        <v>38</v>
      </c>
      <c r="C70" s="87">
        <v>6</v>
      </c>
      <c r="D70" s="87">
        <v>7</v>
      </c>
      <c r="E70" s="87">
        <v>3</v>
      </c>
      <c r="F70" s="87">
        <v>2</v>
      </c>
      <c r="G70" s="87">
        <v>7</v>
      </c>
      <c r="H70" s="87">
        <v>0</v>
      </c>
      <c r="I70" s="87">
        <v>4</v>
      </c>
      <c r="J70" s="87">
        <v>5</v>
      </c>
      <c r="K70" s="87">
        <v>1</v>
      </c>
      <c r="L70" s="87">
        <v>3</v>
      </c>
      <c r="M70" s="87">
        <v>0</v>
      </c>
    </row>
    <row r="71" spans="1:13" s="41" customFormat="1" ht="15.75" customHeight="1">
      <c r="A71" s="67" t="s">
        <v>175</v>
      </c>
      <c r="B71" s="280">
        <v>2</v>
      </c>
      <c r="C71" s="87">
        <v>1</v>
      </c>
      <c r="D71" s="87">
        <v>0</v>
      </c>
      <c r="E71" s="87">
        <v>0</v>
      </c>
      <c r="F71" s="87">
        <v>0</v>
      </c>
      <c r="G71" s="87">
        <v>1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</row>
    <row r="72" spans="1:13" s="41" customFormat="1" ht="15.75" customHeight="1">
      <c r="A72" s="67" t="s">
        <v>322</v>
      </c>
      <c r="B72" s="280">
        <v>3</v>
      </c>
      <c r="C72" s="87">
        <v>2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1</v>
      </c>
      <c r="L72" s="87">
        <v>0</v>
      </c>
      <c r="M72" s="87">
        <v>0</v>
      </c>
    </row>
    <row r="73" spans="1:13" s="41" customFormat="1" ht="15.75" customHeight="1">
      <c r="A73" s="67" t="s">
        <v>179</v>
      </c>
      <c r="B73" s="280">
        <v>10</v>
      </c>
      <c r="C73" s="87">
        <v>0</v>
      </c>
      <c r="D73" s="87">
        <v>1</v>
      </c>
      <c r="E73" s="87">
        <v>0</v>
      </c>
      <c r="F73" s="87">
        <v>0</v>
      </c>
      <c r="G73" s="87">
        <v>5</v>
      </c>
      <c r="H73" s="87">
        <v>0</v>
      </c>
      <c r="I73" s="87">
        <v>1</v>
      </c>
      <c r="J73" s="87">
        <v>3</v>
      </c>
      <c r="K73" s="87">
        <v>0</v>
      </c>
      <c r="L73" s="87">
        <v>0</v>
      </c>
      <c r="M73" s="87">
        <v>0</v>
      </c>
    </row>
    <row r="74" spans="1:13" s="41" customFormat="1" ht="15.75" customHeight="1">
      <c r="A74" s="67" t="s">
        <v>180</v>
      </c>
      <c r="B74" s="280">
        <v>3</v>
      </c>
      <c r="C74" s="87">
        <v>0</v>
      </c>
      <c r="D74" s="87">
        <v>1</v>
      </c>
      <c r="E74" s="87">
        <v>0</v>
      </c>
      <c r="F74" s="87">
        <v>1</v>
      </c>
      <c r="G74" s="87">
        <v>1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</row>
    <row r="75" spans="1:13" s="41" customFormat="1" ht="15.75" customHeight="1">
      <c r="A75" s="67" t="s">
        <v>242</v>
      </c>
      <c r="B75" s="280">
        <v>8</v>
      </c>
      <c r="C75" s="87">
        <v>0</v>
      </c>
      <c r="D75" s="87">
        <v>1</v>
      </c>
      <c r="E75" s="87">
        <v>0</v>
      </c>
      <c r="F75" s="87">
        <v>0</v>
      </c>
      <c r="G75" s="87">
        <v>1</v>
      </c>
      <c r="H75" s="87">
        <v>0</v>
      </c>
      <c r="I75" s="87">
        <v>2</v>
      </c>
      <c r="J75" s="87">
        <v>3</v>
      </c>
      <c r="K75" s="87">
        <v>0</v>
      </c>
      <c r="L75" s="87">
        <v>0</v>
      </c>
      <c r="M75" s="87">
        <v>1</v>
      </c>
    </row>
    <row r="76" spans="1:13" s="41" customFormat="1" ht="15.75" customHeight="1">
      <c r="A76" s="67" t="s">
        <v>282</v>
      </c>
      <c r="B76" s="280">
        <v>1</v>
      </c>
      <c r="C76" s="87">
        <v>1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</row>
    <row r="77" spans="1:13" s="41" customFormat="1" ht="15.75" customHeight="1">
      <c r="A77" s="67" t="s">
        <v>35</v>
      </c>
      <c r="B77" s="280">
        <v>1</v>
      </c>
      <c r="C77" s="87">
        <v>0</v>
      </c>
      <c r="D77" s="87">
        <v>0</v>
      </c>
      <c r="E77" s="87">
        <v>0</v>
      </c>
      <c r="F77" s="87">
        <v>1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</row>
    <row r="78" spans="1:13" s="41" customFormat="1" ht="15.75" customHeight="1">
      <c r="A78" s="67" t="s">
        <v>184</v>
      </c>
      <c r="B78" s="280">
        <v>5</v>
      </c>
      <c r="C78" s="87">
        <v>2</v>
      </c>
      <c r="D78" s="87">
        <v>0</v>
      </c>
      <c r="E78" s="87">
        <v>0</v>
      </c>
      <c r="F78" s="87">
        <v>1</v>
      </c>
      <c r="G78" s="87">
        <v>1</v>
      </c>
      <c r="H78" s="87">
        <v>0</v>
      </c>
      <c r="I78" s="87">
        <v>0</v>
      </c>
      <c r="J78" s="87">
        <v>1</v>
      </c>
      <c r="K78" s="87">
        <v>0</v>
      </c>
      <c r="L78" s="87">
        <v>0</v>
      </c>
      <c r="M78" s="87">
        <v>0</v>
      </c>
    </row>
    <row r="79" spans="1:13" s="41" customFormat="1" ht="15.75" customHeight="1">
      <c r="A79" s="67" t="s">
        <v>194</v>
      </c>
      <c r="B79" s="280">
        <v>28</v>
      </c>
      <c r="C79" s="87">
        <v>5</v>
      </c>
      <c r="D79" s="87">
        <v>3</v>
      </c>
      <c r="E79" s="87">
        <v>4</v>
      </c>
      <c r="F79" s="87">
        <v>5</v>
      </c>
      <c r="G79" s="87">
        <v>4</v>
      </c>
      <c r="H79" s="87">
        <v>0</v>
      </c>
      <c r="I79" s="87">
        <v>3</v>
      </c>
      <c r="J79" s="87">
        <v>1</v>
      </c>
      <c r="K79" s="87">
        <v>1</v>
      </c>
      <c r="L79" s="87">
        <v>1</v>
      </c>
      <c r="M79" s="87">
        <v>1</v>
      </c>
    </row>
    <row r="80" spans="1:13" s="41" customFormat="1" ht="15.75" customHeight="1">
      <c r="A80" s="93" t="s">
        <v>279</v>
      </c>
      <c r="B80" s="279">
        <v>146</v>
      </c>
      <c r="C80" s="102">
        <v>37</v>
      </c>
      <c r="D80" s="102">
        <v>21</v>
      </c>
      <c r="E80" s="102">
        <v>20</v>
      </c>
      <c r="F80" s="102">
        <v>6</v>
      </c>
      <c r="G80" s="102">
        <v>31</v>
      </c>
      <c r="H80" s="102">
        <v>1</v>
      </c>
      <c r="I80" s="102">
        <v>13</v>
      </c>
      <c r="J80" s="102">
        <v>6</v>
      </c>
      <c r="K80" s="102">
        <v>7</v>
      </c>
      <c r="L80" s="102">
        <v>3</v>
      </c>
      <c r="M80" s="102">
        <v>1</v>
      </c>
    </row>
    <row r="81" spans="1:13" s="41" customFormat="1" ht="15.75" customHeight="1">
      <c r="A81" s="67" t="s">
        <v>31</v>
      </c>
      <c r="B81" s="280">
        <v>2</v>
      </c>
      <c r="C81" s="87">
        <v>1</v>
      </c>
      <c r="D81" s="87">
        <v>0</v>
      </c>
      <c r="E81" s="87">
        <v>0</v>
      </c>
      <c r="F81" s="87">
        <v>1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</row>
    <row r="82" spans="1:13" s="41" customFormat="1" ht="15.75" customHeight="1">
      <c r="A82" s="67" t="s">
        <v>64</v>
      </c>
      <c r="B82" s="280">
        <v>6</v>
      </c>
      <c r="C82" s="87">
        <v>3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3</v>
      </c>
      <c r="L82" s="87">
        <v>0</v>
      </c>
      <c r="M82" s="87">
        <v>0</v>
      </c>
    </row>
    <row r="83" spans="1:13" s="41" customFormat="1" ht="15.75" customHeight="1">
      <c r="A83" s="67" t="s">
        <v>301</v>
      </c>
      <c r="B83" s="280">
        <v>1</v>
      </c>
      <c r="C83" s="87">
        <v>0</v>
      </c>
      <c r="D83" s="87">
        <v>1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</row>
    <row r="84" spans="1:13" s="41" customFormat="1" ht="15.75" customHeight="1">
      <c r="A84" s="67" t="s">
        <v>281</v>
      </c>
      <c r="B84" s="280">
        <v>51</v>
      </c>
      <c r="C84" s="87">
        <v>12</v>
      </c>
      <c r="D84" s="87">
        <v>9</v>
      </c>
      <c r="E84" s="87">
        <v>12</v>
      </c>
      <c r="F84" s="87">
        <v>1</v>
      </c>
      <c r="G84" s="87">
        <v>11</v>
      </c>
      <c r="H84" s="87">
        <v>0</v>
      </c>
      <c r="I84" s="87">
        <v>3</v>
      </c>
      <c r="J84" s="87">
        <v>0</v>
      </c>
      <c r="K84" s="87">
        <v>2</v>
      </c>
      <c r="L84" s="87">
        <v>1</v>
      </c>
      <c r="M84" s="87">
        <v>0</v>
      </c>
    </row>
    <row r="85" spans="1:13" s="41" customFormat="1" ht="15.75" customHeight="1">
      <c r="A85" s="67" t="s">
        <v>325</v>
      </c>
      <c r="B85" s="280">
        <v>2</v>
      </c>
      <c r="C85" s="87">
        <v>1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1</v>
      </c>
      <c r="J85" s="87">
        <v>0</v>
      </c>
      <c r="K85" s="87">
        <v>0</v>
      </c>
      <c r="L85" s="87">
        <v>0</v>
      </c>
      <c r="M85" s="87">
        <v>0</v>
      </c>
    </row>
    <row r="86" spans="1:13" s="41" customFormat="1" ht="15.75" customHeight="1">
      <c r="A86" s="67" t="s">
        <v>176</v>
      </c>
      <c r="B86" s="280">
        <v>10</v>
      </c>
      <c r="C86" s="87">
        <v>5</v>
      </c>
      <c r="D86" s="87">
        <v>2</v>
      </c>
      <c r="E86" s="87">
        <v>0</v>
      </c>
      <c r="F86" s="87">
        <v>0</v>
      </c>
      <c r="G86" s="87">
        <v>1</v>
      </c>
      <c r="H86" s="87">
        <v>0</v>
      </c>
      <c r="I86" s="87">
        <v>0</v>
      </c>
      <c r="J86" s="87">
        <v>2</v>
      </c>
      <c r="K86" s="87">
        <v>0</v>
      </c>
      <c r="L86" s="87">
        <v>0</v>
      </c>
      <c r="M86" s="87">
        <v>0</v>
      </c>
    </row>
    <row r="87" spans="1:13" s="41" customFormat="1" ht="15.75" customHeight="1">
      <c r="A87" s="67" t="s">
        <v>177</v>
      </c>
      <c r="B87" s="280">
        <v>2</v>
      </c>
      <c r="C87" s="87">
        <v>0</v>
      </c>
      <c r="D87" s="87">
        <v>1</v>
      </c>
      <c r="E87" s="87">
        <v>0</v>
      </c>
      <c r="F87" s="87">
        <v>0</v>
      </c>
      <c r="G87" s="87">
        <v>1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</row>
    <row r="88" spans="1:13" s="41" customFormat="1" ht="15.75" customHeight="1">
      <c r="A88" s="67" t="s">
        <v>33</v>
      </c>
      <c r="B88" s="280">
        <v>6</v>
      </c>
      <c r="C88" s="87">
        <v>1</v>
      </c>
      <c r="D88" s="87">
        <v>1</v>
      </c>
      <c r="E88" s="87">
        <v>0</v>
      </c>
      <c r="F88" s="87">
        <v>0</v>
      </c>
      <c r="G88" s="87">
        <v>2</v>
      </c>
      <c r="H88" s="87">
        <v>0</v>
      </c>
      <c r="I88" s="87">
        <v>1</v>
      </c>
      <c r="J88" s="87">
        <v>1</v>
      </c>
      <c r="K88" s="87">
        <v>0</v>
      </c>
      <c r="L88" s="87">
        <v>0</v>
      </c>
      <c r="M88" s="87">
        <v>0</v>
      </c>
    </row>
    <row r="89" spans="1:13" s="41" customFormat="1" ht="15.75" customHeight="1">
      <c r="A89" s="67" t="s">
        <v>65</v>
      </c>
      <c r="B89" s="280">
        <v>1</v>
      </c>
      <c r="C89" s="87">
        <v>1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</row>
    <row r="90" spans="1:13" s="41" customFormat="1" ht="15.75" customHeight="1">
      <c r="A90" s="67" t="s">
        <v>178</v>
      </c>
      <c r="B90" s="280">
        <v>8</v>
      </c>
      <c r="C90" s="87">
        <v>3</v>
      </c>
      <c r="D90" s="87">
        <v>3</v>
      </c>
      <c r="E90" s="87">
        <v>0</v>
      </c>
      <c r="F90" s="87">
        <v>0</v>
      </c>
      <c r="G90" s="87">
        <v>1</v>
      </c>
      <c r="H90" s="87">
        <v>0</v>
      </c>
      <c r="I90" s="87">
        <v>1</v>
      </c>
      <c r="J90" s="87">
        <v>0</v>
      </c>
      <c r="K90" s="87">
        <v>0</v>
      </c>
      <c r="L90" s="87">
        <v>0</v>
      </c>
      <c r="M90" s="87">
        <v>0</v>
      </c>
    </row>
    <row r="91" spans="1:13" s="41" customFormat="1" ht="15.75" customHeight="1">
      <c r="A91" s="67" t="s">
        <v>25</v>
      </c>
      <c r="B91" s="280">
        <v>1</v>
      </c>
      <c r="C91" s="87">
        <v>1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</row>
    <row r="92" spans="1:13" s="41" customFormat="1" ht="15.75" customHeight="1">
      <c r="A92" s="67" t="s">
        <v>201</v>
      </c>
      <c r="B92" s="280">
        <v>1</v>
      </c>
      <c r="C92" s="87">
        <v>1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</row>
    <row r="93" spans="1:13" s="41" customFormat="1" ht="15.75" customHeight="1">
      <c r="A93" s="67" t="s">
        <v>239</v>
      </c>
      <c r="B93" s="280">
        <v>1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1</v>
      </c>
      <c r="L93" s="87">
        <v>0</v>
      </c>
      <c r="M93" s="87">
        <v>0</v>
      </c>
    </row>
    <row r="94" spans="1:13" s="41" customFormat="1" ht="15.75" customHeight="1">
      <c r="A94" s="67" t="s">
        <v>327</v>
      </c>
      <c r="B94" s="280">
        <v>2</v>
      </c>
      <c r="C94" s="87">
        <v>1</v>
      </c>
      <c r="D94" s="87">
        <v>0</v>
      </c>
      <c r="E94" s="87">
        <v>0</v>
      </c>
      <c r="F94" s="87">
        <v>0</v>
      </c>
      <c r="G94" s="87">
        <v>1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</row>
    <row r="95" spans="1:13" s="41" customFormat="1" ht="15.75" customHeight="1">
      <c r="A95" s="67" t="s">
        <v>530</v>
      </c>
      <c r="B95" s="280">
        <v>1</v>
      </c>
      <c r="C95" s="87">
        <v>0</v>
      </c>
      <c r="D95" s="87">
        <v>0</v>
      </c>
      <c r="E95" s="87">
        <v>0</v>
      </c>
      <c r="F95" s="87">
        <v>0</v>
      </c>
      <c r="G95" s="87">
        <v>1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</row>
    <row r="96" spans="1:13" s="41" customFormat="1" ht="15.75" customHeight="1">
      <c r="A96" s="67" t="s">
        <v>241</v>
      </c>
      <c r="B96" s="280">
        <v>1</v>
      </c>
      <c r="C96" s="87">
        <v>0</v>
      </c>
      <c r="D96" s="87">
        <v>0</v>
      </c>
      <c r="E96" s="87">
        <v>0</v>
      </c>
      <c r="F96" s="87">
        <v>0</v>
      </c>
      <c r="G96" s="87">
        <v>1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</row>
    <row r="97" spans="1:13" s="41" customFormat="1" ht="15.75" customHeight="1">
      <c r="A97" s="67" t="s">
        <v>34</v>
      </c>
      <c r="B97" s="280">
        <v>1</v>
      </c>
      <c r="C97" s="87">
        <v>0</v>
      </c>
      <c r="D97" s="87">
        <v>0</v>
      </c>
      <c r="E97" s="87">
        <v>1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</row>
    <row r="98" spans="1:13" s="41" customFormat="1" ht="15.75" customHeight="1">
      <c r="A98" s="67" t="s">
        <v>183</v>
      </c>
      <c r="B98" s="280">
        <v>1</v>
      </c>
      <c r="C98" s="87">
        <v>0</v>
      </c>
      <c r="D98" s="87">
        <v>0</v>
      </c>
      <c r="E98" s="87">
        <v>0</v>
      </c>
      <c r="F98" s="87">
        <v>0</v>
      </c>
      <c r="G98" s="87">
        <v>1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</row>
    <row r="99" spans="1:13" s="41" customFormat="1" ht="15.75" customHeight="1">
      <c r="A99" s="41" t="s">
        <v>185</v>
      </c>
      <c r="B99" s="280">
        <v>8</v>
      </c>
      <c r="C99" s="87">
        <v>1</v>
      </c>
      <c r="D99" s="87">
        <v>0</v>
      </c>
      <c r="E99" s="87">
        <v>1</v>
      </c>
      <c r="F99" s="87">
        <v>0</v>
      </c>
      <c r="G99" s="87">
        <v>2</v>
      </c>
      <c r="H99" s="87">
        <v>0</v>
      </c>
      <c r="I99" s="87">
        <v>2</v>
      </c>
      <c r="J99" s="87">
        <v>1</v>
      </c>
      <c r="K99" s="87">
        <v>0</v>
      </c>
      <c r="L99" s="87">
        <v>1</v>
      </c>
      <c r="M99" s="87">
        <v>0</v>
      </c>
    </row>
    <row r="100" spans="1:13" s="41" customFormat="1" ht="15.75" customHeight="1">
      <c r="A100" s="41" t="s">
        <v>335</v>
      </c>
      <c r="B100" s="280">
        <v>1</v>
      </c>
      <c r="C100" s="87">
        <v>0</v>
      </c>
      <c r="D100" s="87">
        <v>0</v>
      </c>
      <c r="E100" s="87">
        <v>0</v>
      </c>
      <c r="F100" s="87">
        <v>0</v>
      </c>
      <c r="G100" s="87">
        <v>1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</row>
    <row r="101" spans="1:13" s="41" customFormat="1" ht="15.75" customHeight="1">
      <c r="A101" s="41" t="s">
        <v>188</v>
      </c>
      <c r="B101" s="280">
        <v>3</v>
      </c>
      <c r="C101" s="87">
        <v>0</v>
      </c>
      <c r="D101" s="87">
        <v>1</v>
      </c>
      <c r="E101" s="87">
        <v>0</v>
      </c>
      <c r="F101" s="87">
        <v>1</v>
      </c>
      <c r="G101" s="87">
        <v>1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</row>
    <row r="102" spans="1:13" s="41" customFormat="1" ht="15.75" customHeight="1">
      <c r="A102" s="41" t="s">
        <v>284</v>
      </c>
      <c r="B102" s="280">
        <v>6</v>
      </c>
      <c r="C102" s="87">
        <v>1</v>
      </c>
      <c r="D102" s="87">
        <v>3</v>
      </c>
      <c r="E102" s="87">
        <v>1</v>
      </c>
      <c r="F102" s="87">
        <v>0</v>
      </c>
      <c r="G102" s="87">
        <v>1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</row>
    <row r="103" spans="1:13" s="41" customFormat="1" ht="15.75" customHeight="1">
      <c r="A103" s="41" t="s">
        <v>248</v>
      </c>
      <c r="B103" s="280">
        <v>1</v>
      </c>
      <c r="C103" s="87">
        <v>0</v>
      </c>
      <c r="D103" s="87">
        <v>0</v>
      </c>
      <c r="E103" s="87">
        <v>0</v>
      </c>
      <c r="F103" s="87">
        <v>0</v>
      </c>
      <c r="G103" s="87">
        <v>1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</row>
    <row r="104" spans="1:13" s="41" customFormat="1" ht="15.75" customHeight="1">
      <c r="A104" s="41" t="s">
        <v>190</v>
      </c>
      <c r="B104" s="280">
        <v>27</v>
      </c>
      <c r="C104" s="87">
        <v>5</v>
      </c>
      <c r="D104" s="87">
        <v>0</v>
      </c>
      <c r="E104" s="87">
        <v>4</v>
      </c>
      <c r="F104" s="87">
        <v>3</v>
      </c>
      <c r="G104" s="87">
        <v>5</v>
      </c>
      <c r="H104" s="87">
        <v>1</v>
      </c>
      <c r="I104" s="87">
        <v>4</v>
      </c>
      <c r="J104" s="87">
        <v>2</v>
      </c>
      <c r="K104" s="87">
        <v>1</v>
      </c>
      <c r="L104" s="87">
        <v>1</v>
      </c>
      <c r="M104" s="87">
        <v>1</v>
      </c>
    </row>
    <row r="105" spans="1:13" s="41" customFormat="1" ht="15.75" customHeight="1">
      <c r="A105" s="41" t="s">
        <v>250</v>
      </c>
      <c r="B105" s="280">
        <v>2</v>
      </c>
      <c r="C105" s="87">
        <v>0</v>
      </c>
      <c r="D105" s="87">
        <v>0</v>
      </c>
      <c r="E105" s="87">
        <v>1</v>
      </c>
      <c r="F105" s="87">
        <v>0</v>
      </c>
      <c r="G105" s="87">
        <v>0</v>
      </c>
      <c r="H105" s="87">
        <v>0</v>
      </c>
      <c r="I105" s="87">
        <v>1</v>
      </c>
      <c r="J105" s="87">
        <v>0</v>
      </c>
      <c r="K105" s="87">
        <v>0</v>
      </c>
      <c r="L105" s="87">
        <v>0</v>
      </c>
      <c r="M105" s="87">
        <v>0</v>
      </c>
    </row>
    <row r="106" spans="1:13" s="41" customFormat="1" ht="15.75" customHeight="1">
      <c r="A106" s="33" t="s">
        <v>280</v>
      </c>
      <c r="B106" s="279">
        <v>6</v>
      </c>
      <c r="C106" s="102">
        <v>3</v>
      </c>
      <c r="D106" s="102">
        <v>0</v>
      </c>
      <c r="E106" s="102">
        <v>0</v>
      </c>
      <c r="F106" s="102">
        <v>0</v>
      </c>
      <c r="G106" s="102">
        <v>1</v>
      </c>
      <c r="H106" s="102">
        <v>0</v>
      </c>
      <c r="I106" s="102">
        <v>2</v>
      </c>
      <c r="J106" s="102">
        <v>0</v>
      </c>
      <c r="K106" s="102">
        <v>0</v>
      </c>
      <c r="L106" s="102">
        <v>0</v>
      </c>
      <c r="M106" s="102">
        <v>0</v>
      </c>
    </row>
    <row r="107" spans="1:13" s="41" customFormat="1" ht="15.75" customHeight="1">
      <c r="A107" s="41" t="s">
        <v>171</v>
      </c>
      <c r="B107" s="280">
        <v>5</v>
      </c>
      <c r="C107" s="87">
        <v>3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2</v>
      </c>
      <c r="J107" s="87">
        <v>0</v>
      </c>
      <c r="K107" s="87">
        <v>0</v>
      </c>
      <c r="L107" s="87">
        <v>0</v>
      </c>
      <c r="M107" s="87">
        <v>0</v>
      </c>
    </row>
    <row r="108" spans="1:13" s="41" customFormat="1" ht="15.75" customHeight="1" thickBot="1">
      <c r="A108" s="159" t="s">
        <v>257</v>
      </c>
      <c r="B108" s="281">
        <v>1</v>
      </c>
      <c r="C108" s="89">
        <v>0</v>
      </c>
      <c r="D108" s="89">
        <v>0</v>
      </c>
      <c r="E108" s="89">
        <v>0</v>
      </c>
      <c r="F108" s="89">
        <v>0</v>
      </c>
      <c r="G108" s="89">
        <v>1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</row>
    <row r="109" spans="1:13" s="41" customFormat="1" ht="15.75" customHeight="1">
      <c r="A109" s="391" t="s">
        <v>635</v>
      </c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</row>
    <row r="110" spans="2:13" s="41" customFormat="1" ht="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 ht="14.25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2:13" ht="14.25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2:13" ht="14.25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2:13" ht="14.2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2:13" ht="14.25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2:13" ht="14.25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2:13" ht="14.25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2:13" ht="14.25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2:13" ht="14.25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</row>
    <row r="120" spans="2:13" ht="14.25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</row>
    <row r="121" spans="2:13" ht="14.25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</row>
    <row r="122" spans="2:13" ht="14.25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</row>
    <row r="123" spans="2:13" ht="14.25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</row>
    <row r="124" spans="2:13" ht="14.25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  <row r="125" spans="2:13" ht="14.25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</row>
    <row r="126" spans="2:13" ht="14.25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</row>
    <row r="127" spans="2:13" ht="14.25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2:13" ht="14.25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</row>
    <row r="129" spans="2:13" ht="14.25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</row>
    <row r="130" spans="2:13" ht="14.25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</row>
    <row r="131" spans="2:13" ht="14.25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</row>
    <row r="132" spans="2:13" ht="14.25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</row>
    <row r="133" spans="2:13" ht="14.25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</row>
    <row r="134" spans="2:13" ht="14.25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</row>
    <row r="135" spans="2:13" ht="14.25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</row>
    <row r="136" spans="2:13" ht="14.25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</row>
    <row r="137" spans="2:13" ht="14.25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</row>
    <row r="138" spans="2:13" ht="14.25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</row>
    <row r="139" spans="2:13" ht="14.25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</row>
    <row r="140" spans="2:13" ht="14.25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</row>
    <row r="141" spans="2:13" ht="14.25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2:13" ht="14.25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</row>
    <row r="143" spans="2:13" ht="14.25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</row>
    <row r="144" spans="2:13" ht="14.25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2:13" ht="14.25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2:13" ht="14.25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2:13" ht="14.25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2:13" ht="14.25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2:13" ht="14.25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  <row r="150" spans="2:13" ht="14.25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</row>
    <row r="151" spans="2:13" ht="14.25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</row>
    <row r="152" spans="2:13" ht="14.25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</row>
    <row r="153" spans="2:13" ht="14.2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</row>
    <row r="154" spans="2:13" ht="14.25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</row>
    <row r="155" spans="2:13" ht="14.25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</row>
    <row r="156" spans="2:13" ht="14.25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</row>
    <row r="157" spans="2:13" ht="14.25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</row>
    <row r="158" spans="2:13" ht="14.25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</row>
    <row r="159" spans="2:13" ht="14.25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</row>
    <row r="160" spans="2:13" ht="14.25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</row>
    <row r="161" spans="2:13" ht="14.25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</row>
    <row r="162" spans="2:13" ht="14.25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</row>
    <row r="163" spans="2:13" ht="14.25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</row>
    <row r="164" spans="2:13" ht="14.25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</row>
    <row r="165" spans="2:13" ht="14.25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</row>
  </sheetData>
  <sheetProtection/>
  <mergeCells count="5">
    <mergeCell ref="A1:M1"/>
    <mergeCell ref="A2:M2"/>
    <mergeCell ref="A3:M3"/>
    <mergeCell ref="C4:M4"/>
    <mergeCell ref="A109:M109"/>
  </mergeCells>
  <printOptions/>
  <pageMargins left="0.7" right="0.7" top="0.787401575" bottom="0.7874015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="85" zoomScaleNormal="85" zoomScalePageLayoutView="0" workbookViewId="0" topLeftCell="A1">
      <selection activeCell="S43" sqref="S43"/>
    </sheetView>
  </sheetViews>
  <sheetFormatPr defaultColWidth="11.421875" defaultRowHeight="18" customHeight="1"/>
  <cols>
    <col min="1" max="1" width="54.7109375" style="77" customWidth="1"/>
    <col min="2" max="2" width="7.57421875" style="77" bestFit="1" customWidth="1"/>
    <col min="3" max="3" width="8.28125" style="77" bestFit="1" customWidth="1"/>
    <col min="4" max="4" width="9.421875" style="77" bestFit="1" customWidth="1"/>
    <col min="5" max="5" width="9.57421875" style="77" bestFit="1" customWidth="1"/>
    <col min="6" max="6" width="14.421875" style="77" bestFit="1" customWidth="1"/>
    <col min="7" max="7" width="9.57421875" style="77" bestFit="1" customWidth="1"/>
    <col min="8" max="8" width="10.140625" style="77" bestFit="1" customWidth="1"/>
    <col min="9" max="9" width="9.57421875" style="77" bestFit="1" customWidth="1"/>
    <col min="10" max="10" width="9.421875" style="77" bestFit="1" customWidth="1"/>
    <col min="11" max="11" width="10.57421875" style="77" bestFit="1" customWidth="1"/>
    <col min="12" max="12" width="9.7109375" style="77" bestFit="1" customWidth="1"/>
    <col min="13" max="13" width="15.7109375" style="77" bestFit="1" customWidth="1"/>
    <col min="14" max="16384" width="11.421875" style="77" customWidth="1"/>
  </cols>
  <sheetData>
    <row r="1" spans="1:13" ht="18" customHeight="1">
      <c r="A1" s="412" t="s">
        <v>413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5.7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5.75" customHeight="1" thickBot="1">
      <c r="A3" s="414" t="s">
        <v>444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80"/>
      <c r="B4" s="34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80"/>
      <c r="B5" s="342"/>
      <c r="C5" s="343" t="s">
        <v>123</v>
      </c>
      <c r="D5" s="343" t="s">
        <v>124</v>
      </c>
      <c r="E5" s="343" t="s">
        <v>125</v>
      </c>
      <c r="F5" s="343" t="s">
        <v>126</v>
      </c>
      <c r="G5" s="343" t="s">
        <v>127</v>
      </c>
      <c r="H5" s="343" t="s">
        <v>128</v>
      </c>
      <c r="I5" s="343" t="s">
        <v>129</v>
      </c>
      <c r="J5" s="343" t="s">
        <v>130</v>
      </c>
      <c r="K5" s="343" t="s">
        <v>131</v>
      </c>
      <c r="L5" s="343" t="s">
        <v>132</v>
      </c>
      <c r="M5" s="343" t="s">
        <v>133</v>
      </c>
    </row>
    <row r="6" spans="1:13" ht="15.75" customHeight="1">
      <c r="A6" s="79" t="s">
        <v>134</v>
      </c>
      <c r="B6" s="261">
        <v>2052</v>
      </c>
      <c r="C6" s="98">
        <v>258</v>
      </c>
      <c r="D6" s="98">
        <v>306</v>
      </c>
      <c r="E6" s="98">
        <v>318</v>
      </c>
      <c r="F6" s="98">
        <v>101</v>
      </c>
      <c r="G6" s="98">
        <v>284</v>
      </c>
      <c r="H6" s="98">
        <v>27</v>
      </c>
      <c r="I6" s="98">
        <v>210</v>
      </c>
      <c r="J6" s="98">
        <v>224</v>
      </c>
      <c r="K6" s="98">
        <v>118</v>
      </c>
      <c r="L6" s="98">
        <v>149</v>
      </c>
      <c r="M6" s="98">
        <v>57</v>
      </c>
    </row>
    <row r="7" spans="1:13" ht="15.75" customHeight="1">
      <c r="A7" s="101" t="s">
        <v>364</v>
      </c>
      <c r="B7" s="261">
        <v>7</v>
      </c>
      <c r="C7" s="98">
        <v>0</v>
      </c>
      <c r="D7" s="98">
        <v>2</v>
      </c>
      <c r="E7" s="98">
        <v>0</v>
      </c>
      <c r="F7" s="98">
        <v>1</v>
      </c>
      <c r="G7" s="98">
        <v>1</v>
      </c>
      <c r="H7" s="98">
        <v>0</v>
      </c>
      <c r="I7" s="98">
        <v>0</v>
      </c>
      <c r="J7" s="98">
        <v>0</v>
      </c>
      <c r="K7" s="98">
        <v>0</v>
      </c>
      <c r="L7" s="98">
        <v>2</v>
      </c>
      <c r="M7" s="98">
        <v>1</v>
      </c>
    </row>
    <row r="8" spans="1:13" ht="15.75" customHeight="1">
      <c r="A8" s="81" t="s">
        <v>365</v>
      </c>
      <c r="B8" s="262">
        <v>7</v>
      </c>
      <c r="C8" s="68">
        <v>0</v>
      </c>
      <c r="D8" s="68">
        <v>2</v>
      </c>
      <c r="E8" s="68">
        <v>0</v>
      </c>
      <c r="F8" s="68">
        <v>1</v>
      </c>
      <c r="G8" s="68">
        <v>1</v>
      </c>
      <c r="H8" s="68">
        <v>0</v>
      </c>
      <c r="I8" s="68">
        <v>0</v>
      </c>
      <c r="J8" s="68">
        <v>0</v>
      </c>
      <c r="K8" s="68">
        <v>0</v>
      </c>
      <c r="L8" s="68">
        <v>2</v>
      </c>
      <c r="M8" s="68">
        <v>1</v>
      </c>
    </row>
    <row r="9" spans="1:13" ht="15.75" customHeight="1">
      <c r="A9" s="101" t="s">
        <v>366</v>
      </c>
      <c r="B9" s="261">
        <v>661</v>
      </c>
      <c r="C9" s="98">
        <v>69</v>
      </c>
      <c r="D9" s="98">
        <v>90</v>
      </c>
      <c r="E9" s="98">
        <v>92</v>
      </c>
      <c r="F9" s="98">
        <v>32</v>
      </c>
      <c r="G9" s="98">
        <v>97</v>
      </c>
      <c r="H9" s="98">
        <v>12</v>
      </c>
      <c r="I9" s="98">
        <v>68</v>
      </c>
      <c r="J9" s="98">
        <v>83</v>
      </c>
      <c r="K9" s="98">
        <v>44</v>
      </c>
      <c r="L9" s="98">
        <v>49</v>
      </c>
      <c r="M9" s="98">
        <v>25</v>
      </c>
    </row>
    <row r="10" spans="1:13" ht="15.75" customHeight="1">
      <c r="A10" s="81" t="s">
        <v>368</v>
      </c>
      <c r="B10" s="262">
        <v>36</v>
      </c>
      <c r="C10" s="68">
        <v>6</v>
      </c>
      <c r="D10" s="68">
        <v>4</v>
      </c>
      <c r="E10" s="68">
        <v>5</v>
      </c>
      <c r="F10" s="68">
        <v>1</v>
      </c>
      <c r="G10" s="68">
        <v>4</v>
      </c>
      <c r="H10" s="68">
        <v>1</v>
      </c>
      <c r="I10" s="68">
        <v>3</v>
      </c>
      <c r="J10" s="68">
        <v>3</v>
      </c>
      <c r="K10" s="68">
        <v>4</v>
      </c>
      <c r="L10" s="68">
        <v>4</v>
      </c>
      <c r="M10" s="68">
        <v>1</v>
      </c>
    </row>
    <row r="11" spans="1:13" ht="15.75" customHeight="1">
      <c r="A11" s="81" t="s">
        <v>369</v>
      </c>
      <c r="B11" s="262">
        <v>11</v>
      </c>
      <c r="C11" s="68">
        <v>0</v>
      </c>
      <c r="D11" s="68">
        <v>5</v>
      </c>
      <c r="E11" s="68">
        <v>0</v>
      </c>
      <c r="F11" s="68">
        <v>0</v>
      </c>
      <c r="G11" s="68">
        <v>2</v>
      </c>
      <c r="H11" s="68">
        <v>0</v>
      </c>
      <c r="I11" s="68">
        <v>2</v>
      </c>
      <c r="J11" s="68">
        <v>1</v>
      </c>
      <c r="K11" s="68">
        <v>0</v>
      </c>
      <c r="L11" s="68">
        <v>1</v>
      </c>
      <c r="M11" s="68">
        <v>0</v>
      </c>
    </row>
    <row r="12" spans="1:13" ht="15.75" customHeight="1">
      <c r="A12" s="81" t="s">
        <v>370</v>
      </c>
      <c r="B12" s="262">
        <v>52</v>
      </c>
      <c r="C12" s="68">
        <v>4</v>
      </c>
      <c r="D12" s="68">
        <v>6</v>
      </c>
      <c r="E12" s="68">
        <v>5</v>
      </c>
      <c r="F12" s="68">
        <v>4</v>
      </c>
      <c r="G12" s="68">
        <v>12</v>
      </c>
      <c r="H12" s="68">
        <v>1</v>
      </c>
      <c r="I12" s="68">
        <v>3</v>
      </c>
      <c r="J12" s="68">
        <v>6</v>
      </c>
      <c r="K12" s="68">
        <v>4</v>
      </c>
      <c r="L12" s="68">
        <v>6</v>
      </c>
      <c r="M12" s="68">
        <v>1</v>
      </c>
    </row>
    <row r="13" spans="1:13" ht="15.75" customHeight="1">
      <c r="A13" s="81" t="s">
        <v>371</v>
      </c>
      <c r="B13" s="262">
        <v>27</v>
      </c>
      <c r="C13" s="68">
        <v>3</v>
      </c>
      <c r="D13" s="68">
        <v>4</v>
      </c>
      <c r="E13" s="68">
        <v>0</v>
      </c>
      <c r="F13" s="68">
        <v>2</v>
      </c>
      <c r="G13" s="68">
        <v>7</v>
      </c>
      <c r="H13" s="68">
        <v>0</v>
      </c>
      <c r="I13" s="68">
        <v>1</v>
      </c>
      <c r="J13" s="68">
        <v>8</v>
      </c>
      <c r="K13" s="68">
        <v>1</v>
      </c>
      <c r="L13" s="68">
        <v>1</v>
      </c>
      <c r="M13" s="68">
        <v>0</v>
      </c>
    </row>
    <row r="14" spans="1:13" ht="15.75" customHeight="1">
      <c r="A14" s="81" t="s">
        <v>372</v>
      </c>
      <c r="B14" s="262">
        <v>34</v>
      </c>
      <c r="C14" s="68">
        <v>2</v>
      </c>
      <c r="D14" s="68">
        <v>4</v>
      </c>
      <c r="E14" s="68">
        <v>5</v>
      </c>
      <c r="F14" s="68">
        <v>2</v>
      </c>
      <c r="G14" s="68">
        <v>5</v>
      </c>
      <c r="H14" s="68">
        <v>0</v>
      </c>
      <c r="I14" s="68">
        <v>5</v>
      </c>
      <c r="J14" s="68">
        <v>6</v>
      </c>
      <c r="K14" s="68">
        <v>1</v>
      </c>
      <c r="L14" s="68">
        <v>0</v>
      </c>
      <c r="M14" s="68">
        <v>4</v>
      </c>
    </row>
    <row r="15" spans="1:13" ht="15.75" customHeight="1">
      <c r="A15" s="81" t="s">
        <v>373</v>
      </c>
      <c r="B15" s="262">
        <v>85</v>
      </c>
      <c r="C15" s="68">
        <v>11</v>
      </c>
      <c r="D15" s="68">
        <v>9</v>
      </c>
      <c r="E15" s="68">
        <v>13</v>
      </c>
      <c r="F15" s="68">
        <v>3</v>
      </c>
      <c r="G15" s="68">
        <v>8</v>
      </c>
      <c r="H15" s="68">
        <v>3</v>
      </c>
      <c r="I15" s="68">
        <v>11</v>
      </c>
      <c r="J15" s="68">
        <v>14</v>
      </c>
      <c r="K15" s="68">
        <v>7</v>
      </c>
      <c r="L15" s="68">
        <v>5</v>
      </c>
      <c r="M15" s="68">
        <v>1</v>
      </c>
    </row>
    <row r="16" spans="1:13" ht="15.75" customHeight="1">
      <c r="A16" s="81" t="s">
        <v>374</v>
      </c>
      <c r="B16" s="262">
        <v>53</v>
      </c>
      <c r="C16" s="68">
        <v>3</v>
      </c>
      <c r="D16" s="68">
        <v>10</v>
      </c>
      <c r="E16" s="68">
        <v>11</v>
      </c>
      <c r="F16" s="68">
        <v>4</v>
      </c>
      <c r="G16" s="68">
        <v>6</v>
      </c>
      <c r="H16" s="68">
        <v>0</v>
      </c>
      <c r="I16" s="68">
        <v>4</v>
      </c>
      <c r="J16" s="68">
        <v>5</v>
      </c>
      <c r="K16" s="68">
        <v>5</v>
      </c>
      <c r="L16" s="68">
        <v>3</v>
      </c>
      <c r="M16" s="68">
        <v>2</v>
      </c>
    </row>
    <row r="17" spans="1:13" ht="15.75" customHeight="1">
      <c r="A17" s="81" t="s">
        <v>375</v>
      </c>
      <c r="B17" s="262">
        <v>17</v>
      </c>
      <c r="C17" s="68">
        <v>1</v>
      </c>
      <c r="D17" s="68">
        <v>3</v>
      </c>
      <c r="E17" s="68">
        <v>3</v>
      </c>
      <c r="F17" s="68">
        <v>1</v>
      </c>
      <c r="G17" s="68">
        <v>0</v>
      </c>
      <c r="H17" s="68">
        <v>0</v>
      </c>
      <c r="I17" s="68">
        <v>3</v>
      </c>
      <c r="J17" s="68">
        <v>2</v>
      </c>
      <c r="K17" s="68">
        <v>1</v>
      </c>
      <c r="L17" s="68">
        <v>2</v>
      </c>
      <c r="M17" s="68">
        <v>1</v>
      </c>
    </row>
    <row r="18" spans="1:13" ht="15.75" customHeight="1">
      <c r="A18" s="81" t="s">
        <v>376</v>
      </c>
      <c r="B18" s="262">
        <v>158</v>
      </c>
      <c r="C18" s="68">
        <v>20</v>
      </c>
      <c r="D18" s="68">
        <v>16</v>
      </c>
      <c r="E18" s="68">
        <v>15</v>
      </c>
      <c r="F18" s="68">
        <v>7</v>
      </c>
      <c r="G18" s="68">
        <v>25</v>
      </c>
      <c r="H18" s="68">
        <v>3</v>
      </c>
      <c r="I18" s="68">
        <v>15</v>
      </c>
      <c r="J18" s="68">
        <v>24</v>
      </c>
      <c r="K18" s="68">
        <v>11</v>
      </c>
      <c r="L18" s="68">
        <v>15</v>
      </c>
      <c r="M18" s="68">
        <v>7</v>
      </c>
    </row>
    <row r="19" spans="1:13" ht="15.75" customHeight="1">
      <c r="A19" s="81" t="s">
        <v>377</v>
      </c>
      <c r="B19" s="262">
        <v>27</v>
      </c>
      <c r="C19" s="68">
        <v>3</v>
      </c>
      <c r="D19" s="68">
        <v>2</v>
      </c>
      <c r="E19" s="68">
        <v>2</v>
      </c>
      <c r="F19" s="68">
        <v>0</v>
      </c>
      <c r="G19" s="68">
        <v>6</v>
      </c>
      <c r="H19" s="68">
        <v>0</v>
      </c>
      <c r="I19" s="68">
        <v>6</v>
      </c>
      <c r="J19" s="68">
        <v>4</v>
      </c>
      <c r="K19" s="68">
        <v>2</v>
      </c>
      <c r="L19" s="68">
        <v>2</v>
      </c>
      <c r="M19" s="68">
        <v>0</v>
      </c>
    </row>
    <row r="20" spans="1:13" ht="15.75" customHeight="1">
      <c r="A20" s="81" t="s">
        <v>378</v>
      </c>
      <c r="B20" s="262">
        <v>25</v>
      </c>
      <c r="C20" s="68">
        <v>3</v>
      </c>
      <c r="D20" s="68">
        <v>10</v>
      </c>
      <c r="E20" s="68">
        <v>4</v>
      </c>
      <c r="F20" s="68">
        <v>0</v>
      </c>
      <c r="G20" s="68">
        <v>1</v>
      </c>
      <c r="H20" s="68">
        <v>0</v>
      </c>
      <c r="I20" s="68">
        <v>1</v>
      </c>
      <c r="J20" s="68">
        <v>1</v>
      </c>
      <c r="K20" s="68">
        <v>3</v>
      </c>
      <c r="L20" s="68">
        <v>2</v>
      </c>
      <c r="M20" s="68">
        <v>0</v>
      </c>
    </row>
    <row r="21" spans="1:13" ht="15.75" customHeight="1">
      <c r="A21" s="81" t="s">
        <v>379</v>
      </c>
      <c r="B21" s="262">
        <v>24</v>
      </c>
      <c r="C21" s="68">
        <v>2</v>
      </c>
      <c r="D21" s="68">
        <v>4</v>
      </c>
      <c r="E21" s="68">
        <v>4</v>
      </c>
      <c r="F21" s="68">
        <v>0</v>
      </c>
      <c r="G21" s="68">
        <v>2</v>
      </c>
      <c r="H21" s="68">
        <v>1</v>
      </c>
      <c r="I21" s="68">
        <v>6</v>
      </c>
      <c r="J21" s="68">
        <v>1</v>
      </c>
      <c r="K21" s="68">
        <v>1</v>
      </c>
      <c r="L21" s="68">
        <v>1</v>
      </c>
      <c r="M21" s="68">
        <v>2</v>
      </c>
    </row>
    <row r="22" spans="1:13" ht="15.75" customHeight="1">
      <c r="A22" s="81" t="s">
        <v>380</v>
      </c>
      <c r="B22" s="262">
        <v>112</v>
      </c>
      <c r="C22" s="68">
        <v>11</v>
      </c>
      <c r="D22" s="68">
        <v>13</v>
      </c>
      <c r="E22" s="68">
        <v>25</v>
      </c>
      <c r="F22" s="68">
        <v>8</v>
      </c>
      <c r="G22" s="68">
        <v>19</v>
      </c>
      <c r="H22" s="68">
        <v>3</v>
      </c>
      <c r="I22" s="68">
        <v>8</v>
      </c>
      <c r="J22" s="68">
        <v>8</v>
      </c>
      <c r="K22" s="68">
        <v>4</v>
      </c>
      <c r="L22" s="68">
        <v>7</v>
      </c>
      <c r="M22" s="68">
        <v>6</v>
      </c>
    </row>
    <row r="23" spans="1:13" ht="15.75" customHeight="1">
      <c r="A23" s="101" t="s">
        <v>381</v>
      </c>
      <c r="B23" s="261">
        <v>1384</v>
      </c>
      <c r="C23" s="98">
        <v>189</v>
      </c>
      <c r="D23" s="98">
        <v>214</v>
      </c>
      <c r="E23" s="98">
        <v>226</v>
      </c>
      <c r="F23" s="98">
        <v>68</v>
      </c>
      <c r="G23" s="98">
        <v>186</v>
      </c>
      <c r="H23" s="98">
        <v>15</v>
      </c>
      <c r="I23" s="98">
        <v>142</v>
      </c>
      <c r="J23" s="98">
        <v>141</v>
      </c>
      <c r="K23" s="98">
        <v>74</v>
      </c>
      <c r="L23" s="98">
        <v>98</v>
      </c>
      <c r="M23" s="98">
        <v>31</v>
      </c>
    </row>
    <row r="24" spans="1:13" ht="15.75" customHeight="1">
      <c r="A24" s="81" t="s">
        <v>382</v>
      </c>
      <c r="B24" s="262">
        <v>343</v>
      </c>
      <c r="C24" s="68">
        <v>40</v>
      </c>
      <c r="D24" s="68">
        <v>54</v>
      </c>
      <c r="E24" s="68">
        <v>60</v>
      </c>
      <c r="F24" s="68">
        <v>19</v>
      </c>
      <c r="G24" s="68">
        <v>28</v>
      </c>
      <c r="H24" s="68">
        <v>2</v>
      </c>
      <c r="I24" s="68">
        <v>30</v>
      </c>
      <c r="J24" s="68">
        <v>50</v>
      </c>
      <c r="K24" s="68">
        <v>22</v>
      </c>
      <c r="L24" s="68">
        <v>32</v>
      </c>
      <c r="M24" s="68">
        <v>6</v>
      </c>
    </row>
    <row r="25" spans="1:13" ht="15.75" customHeight="1">
      <c r="A25" s="81" t="s">
        <v>383</v>
      </c>
      <c r="B25" s="262">
        <v>84</v>
      </c>
      <c r="C25" s="68">
        <v>10</v>
      </c>
      <c r="D25" s="68">
        <v>17</v>
      </c>
      <c r="E25" s="68">
        <v>16</v>
      </c>
      <c r="F25" s="68">
        <v>7</v>
      </c>
      <c r="G25" s="68">
        <v>11</v>
      </c>
      <c r="H25" s="68">
        <v>0</v>
      </c>
      <c r="I25" s="68">
        <v>11</v>
      </c>
      <c r="J25" s="68">
        <v>2</v>
      </c>
      <c r="K25" s="68">
        <v>6</v>
      </c>
      <c r="L25" s="68">
        <v>4</v>
      </c>
      <c r="M25" s="68">
        <v>0</v>
      </c>
    </row>
    <row r="26" spans="1:13" ht="15.75" customHeight="1">
      <c r="A26" s="81" t="s">
        <v>384</v>
      </c>
      <c r="B26" s="262">
        <v>64</v>
      </c>
      <c r="C26" s="68">
        <v>9</v>
      </c>
      <c r="D26" s="68">
        <v>13</v>
      </c>
      <c r="E26" s="68">
        <v>10</v>
      </c>
      <c r="F26" s="68">
        <v>2</v>
      </c>
      <c r="G26" s="68">
        <v>9</v>
      </c>
      <c r="H26" s="68">
        <v>1</v>
      </c>
      <c r="I26" s="68">
        <v>9</v>
      </c>
      <c r="J26" s="68">
        <v>2</v>
      </c>
      <c r="K26" s="68">
        <v>6</v>
      </c>
      <c r="L26" s="68">
        <v>2</v>
      </c>
      <c r="M26" s="68">
        <v>1</v>
      </c>
    </row>
    <row r="27" spans="1:13" ht="15.75" customHeight="1">
      <c r="A27" s="81" t="s">
        <v>385</v>
      </c>
      <c r="B27" s="262">
        <v>7</v>
      </c>
      <c r="C27" s="68">
        <v>1</v>
      </c>
      <c r="D27" s="68">
        <v>1</v>
      </c>
      <c r="E27" s="68">
        <v>1</v>
      </c>
      <c r="F27" s="68">
        <v>0</v>
      </c>
      <c r="G27" s="68">
        <v>1</v>
      </c>
      <c r="H27" s="68">
        <v>0</v>
      </c>
      <c r="I27" s="68">
        <v>0</v>
      </c>
      <c r="J27" s="68">
        <v>1</v>
      </c>
      <c r="K27" s="68">
        <v>0</v>
      </c>
      <c r="L27" s="68">
        <v>1</v>
      </c>
      <c r="M27" s="68">
        <v>1</v>
      </c>
    </row>
    <row r="28" spans="1:13" ht="15.75" customHeight="1">
      <c r="A28" s="81" t="s">
        <v>386</v>
      </c>
      <c r="B28" s="262">
        <v>8</v>
      </c>
      <c r="C28" s="68">
        <v>1</v>
      </c>
      <c r="D28" s="68">
        <v>1</v>
      </c>
      <c r="E28" s="68">
        <v>1</v>
      </c>
      <c r="F28" s="68">
        <v>0</v>
      </c>
      <c r="G28" s="68">
        <v>2</v>
      </c>
      <c r="H28" s="68">
        <v>0</v>
      </c>
      <c r="I28" s="68">
        <v>3</v>
      </c>
      <c r="J28" s="68">
        <v>0</v>
      </c>
      <c r="K28" s="68">
        <v>0</v>
      </c>
      <c r="L28" s="68">
        <v>0</v>
      </c>
      <c r="M28" s="68">
        <v>0</v>
      </c>
    </row>
    <row r="29" spans="1:13" ht="15.75" customHeight="1">
      <c r="A29" s="81" t="s">
        <v>387</v>
      </c>
      <c r="B29" s="262">
        <v>45</v>
      </c>
      <c r="C29" s="68">
        <v>8</v>
      </c>
      <c r="D29" s="68">
        <v>5</v>
      </c>
      <c r="E29" s="68">
        <v>5</v>
      </c>
      <c r="F29" s="68">
        <v>3</v>
      </c>
      <c r="G29" s="68">
        <v>7</v>
      </c>
      <c r="H29" s="68">
        <v>0</v>
      </c>
      <c r="I29" s="68">
        <v>3</v>
      </c>
      <c r="J29" s="68">
        <v>7</v>
      </c>
      <c r="K29" s="68">
        <v>1</v>
      </c>
      <c r="L29" s="68">
        <v>4</v>
      </c>
      <c r="M29" s="68">
        <v>2</v>
      </c>
    </row>
    <row r="30" spans="1:13" ht="15.75" customHeight="1">
      <c r="A30" s="81" t="s">
        <v>388</v>
      </c>
      <c r="B30" s="262">
        <v>95</v>
      </c>
      <c r="C30" s="68">
        <v>16</v>
      </c>
      <c r="D30" s="68">
        <v>16</v>
      </c>
      <c r="E30" s="68">
        <v>14</v>
      </c>
      <c r="F30" s="68">
        <v>1</v>
      </c>
      <c r="G30" s="68">
        <v>16</v>
      </c>
      <c r="H30" s="68">
        <v>1</v>
      </c>
      <c r="I30" s="68">
        <v>9</v>
      </c>
      <c r="J30" s="68">
        <v>5</v>
      </c>
      <c r="K30" s="68">
        <v>5</v>
      </c>
      <c r="L30" s="68">
        <v>10</v>
      </c>
      <c r="M30" s="68">
        <v>2</v>
      </c>
    </row>
    <row r="31" spans="1:13" ht="15.75" customHeight="1">
      <c r="A31" s="81" t="s">
        <v>389</v>
      </c>
      <c r="B31" s="262">
        <v>18</v>
      </c>
      <c r="C31" s="68">
        <v>4</v>
      </c>
      <c r="D31" s="68">
        <v>3</v>
      </c>
      <c r="E31" s="68">
        <v>4</v>
      </c>
      <c r="F31" s="68">
        <v>1</v>
      </c>
      <c r="G31" s="68">
        <v>1</v>
      </c>
      <c r="H31" s="68">
        <v>1</v>
      </c>
      <c r="I31" s="68">
        <v>1</v>
      </c>
      <c r="J31" s="68">
        <v>0</v>
      </c>
      <c r="K31" s="68">
        <v>1</v>
      </c>
      <c r="L31" s="68">
        <v>0</v>
      </c>
      <c r="M31" s="68">
        <v>2</v>
      </c>
    </row>
    <row r="32" spans="1:13" ht="15.75" customHeight="1">
      <c r="A32" s="81" t="s">
        <v>390</v>
      </c>
      <c r="B32" s="262">
        <v>21</v>
      </c>
      <c r="C32" s="68">
        <v>2</v>
      </c>
      <c r="D32" s="68">
        <v>4</v>
      </c>
      <c r="E32" s="68">
        <v>2</v>
      </c>
      <c r="F32" s="68">
        <v>3</v>
      </c>
      <c r="G32" s="68">
        <v>5</v>
      </c>
      <c r="H32" s="68">
        <v>1</v>
      </c>
      <c r="I32" s="68">
        <v>2</v>
      </c>
      <c r="J32" s="68">
        <v>2</v>
      </c>
      <c r="K32" s="68">
        <v>0</v>
      </c>
      <c r="L32" s="68">
        <v>0</v>
      </c>
      <c r="M32" s="68">
        <v>0</v>
      </c>
    </row>
    <row r="33" spans="1:13" ht="15.75" customHeight="1">
      <c r="A33" s="81" t="s">
        <v>391</v>
      </c>
      <c r="B33" s="262">
        <v>28</v>
      </c>
      <c r="C33" s="68">
        <v>4</v>
      </c>
      <c r="D33" s="68">
        <v>7</v>
      </c>
      <c r="E33" s="68">
        <v>4</v>
      </c>
      <c r="F33" s="68">
        <v>0</v>
      </c>
      <c r="G33" s="68">
        <v>2</v>
      </c>
      <c r="H33" s="68">
        <v>0</v>
      </c>
      <c r="I33" s="68">
        <v>1</v>
      </c>
      <c r="J33" s="68">
        <v>3</v>
      </c>
      <c r="K33" s="68">
        <v>4</v>
      </c>
      <c r="L33" s="68">
        <v>2</v>
      </c>
      <c r="M33" s="68">
        <v>1</v>
      </c>
    </row>
    <row r="34" spans="1:13" ht="15.75" customHeight="1">
      <c r="A34" s="81" t="s">
        <v>392</v>
      </c>
      <c r="B34" s="262">
        <v>55</v>
      </c>
      <c r="C34" s="68">
        <v>9</v>
      </c>
      <c r="D34" s="68">
        <v>5</v>
      </c>
      <c r="E34" s="68">
        <v>9</v>
      </c>
      <c r="F34" s="68">
        <v>4</v>
      </c>
      <c r="G34" s="68">
        <v>10</v>
      </c>
      <c r="H34" s="68">
        <v>0</v>
      </c>
      <c r="I34" s="68">
        <v>2</v>
      </c>
      <c r="J34" s="68">
        <v>9</v>
      </c>
      <c r="K34" s="68">
        <v>3</v>
      </c>
      <c r="L34" s="68">
        <v>3</v>
      </c>
      <c r="M34" s="68">
        <v>1</v>
      </c>
    </row>
    <row r="35" spans="1:13" ht="15.75" customHeight="1">
      <c r="A35" s="81" t="s">
        <v>393</v>
      </c>
      <c r="B35" s="262">
        <v>19</v>
      </c>
      <c r="C35" s="68">
        <v>3</v>
      </c>
      <c r="D35" s="68">
        <v>2</v>
      </c>
      <c r="E35" s="68">
        <v>4</v>
      </c>
      <c r="F35" s="68">
        <v>0</v>
      </c>
      <c r="G35" s="68">
        <v>5</v>
      </c>
      <c r="H35" s="68">
        <v>0</v>
      </c>
      <c r="I35" s="68">
        <v>0</v>
      </c>
      <c r="J35" s="68">
        <v>1</v>
      </c>
      <c r="K35" s="68">
        <v>0</v>
      </c>
      <c r="L35" s="68">
        <v>3</v>
      </c>
      <c r="M35" s="68">
        <v>1</v>
      </c>
    </row>
    <row r="36" spans="1:13" ht="15.75" customHeight="1">
      <c r="A36" s="81" t="s">
        <v>394</v>
      </c>
      <c r="B36" s="262">
        <v>62</v>
      </c>
      <c r="C36" s="68">
        <v>9</v>
      </c>
      <c r="D36" s="68">
        <v>11</v>
      </c>
      <c r="E36" s="68">
        <v>7</v>
      </c>
      <c r="F36" s="68">
        <v>3</v>
      </c>
      <c r="G36" s="68">
        <v>7</v>
      </c>
      <c r="H36" s="68">
        <v>0</v>
      </c>
      <c r="I36" s="68">
        <v>8</v>
      </c>
      <c r="J36" s="68">
        <v>8</v>
      </c>
      <c r="K36" s="68">
        <v>3</v>
      </c>
      <c r="L36" s="68">
        <v>3</v>
      </c>
      <c r="M36" s="68">
        <v>3</v>
      </c>
    </row>
    <row r="37" spans="1:13" ht="15.75" customHeight="1">
      <c r="A37" s="81" t="s">
        <v>395</v>
      </c>
      <c r="B37" s="262">
        <v>55</v>
      </c>
      <c r="C37" s="68">
        <v>3</v>
      </c>
      <c r="D37" s="68">
        <v>10</v>
      </c>
      <c r="E37" s="68">
        <v>15</v>
      </c>
      <c r="F37" s="68">
        <v>3</v>
      </c>
      <c r="G37" s="68">
        <v>5</v>
      </c>
      <c r="H37" s="68">
        <v>1</v>
      </c>
      <c r="I37" s="68">
        <v>6</v>
      </c>
      <c r="J37" s="68">
        <v>4</v>
      </c>
      <c r="K37" s="68">
        <v>3</v>
      </c>
      <c r="L37" s="68">
        <v>3</v>
      </c>
      <c r="M37" s="68">
        <v>2</v>
      </c>
    </row>
    <row r="38" spans="1:13" ht="15.75" customHeight="1">
      <c r="A38" s="81" t="s">
        <v>396</v>
      </c>
      <c r="B38" s="262">
        <v>108</v>
      </c>
      <c r="C38" s="68">
        <v>14</v>
      </c>
      <c r="D38" s="68">
        <v>16</v>
      </c>
      <c r="E38" s="68">
        <v>18</v>
      </c>
      <c r="F38" s="68">
        <v>1</v>
      </c>
      <c r="G38" s="68">
        <v>21</v>
      </c>
      <c r="H38" s="68">
        <v>1</v>
      </c>
      <c r="I38" s="68">
        <v>15</v>
      </c>
      <c r="J38" s="68">
        <v>7</v>
      </c>
      <c r="K38" s="68">
        <v>3</v>
      </c>
      <c r="L38" s="68">
        <v>9</v>
      </c>
      <c r="M38" s="68">
        <v>3</v>
      </c>
    </row>
    <row r="39" spans="1:13" ht="15.75" customHeight="1">
      <c r="A39" s="81" t="s">
        <v>397</v>
      </c>
      <c r="B39" s="262">
        <v>196</v>
      </c>
      <c r="C39" s="68">
        <v>27</v>
      </c>
      <c r="D39" s="68">
        <v>29</v>
      </c>
      <c r="E39" s="68">
        <v>33</v>
      </c>
      <c r="F39" s="68">
        <v>14</v>
      </c>
      <c r="G39" s="68">
        <v>26</v>
      </c>
      <c r="H39" s="68">
        <v>6</v>
      </c>
      <c r="I39" s="68">
        <v>19</v>
      </c>
      <c r="J39" s="68">
        <v>21</v>
      </c>
      <c r="K39" s="68">
        <v>6</v>
      </c>
      <c r="L39" s="68">
        <v>12</v>
      </c>
      <c r="M39" s="68">
        <v>3</v>
      </c>
    </row>
    <row r="40" spans="1:13" ht="15.75" customHeight="1">
      <c r="A40" s="81" t="s">
        <v>398</v>
      </c>
      <c r="B40" s="262">
        <v>80</v>
      </c>
      <c r="C40" s="68">
        <v>11</v>
      </c>
      <c r="D40" s="68">
        <v>10</v>
      </c>
      <c r="E40" s="68">
        <v>14</v>
      </c>
      <c r="F40" s="68">
        <v>3</v>
      </c>
      <c r="G40" s="68">
        <v>11</v>
      </c>
      <c r="H40" s="68">
        <v>0</v>
      </c>
      <c r="I40" s="68">
        <v>12</v>
      </c>
      <c r="J40" s="68">
        <v>8</v>
      </c>
      <c r="K40" s="68">
        <v>3</v>
      </c>
      <c r="L40" s="68">
        <v>5</v>
      </c>
      <c r="M40" s="68">
        <v>3</v>
      </c>
    </row>
    <row r="41" spans="1:13" ht="15.75" customHeight="1">
      <c r="A41" s="81" t="s">
        <v>399</v>
      </c>
      <c r="B41" s="262">
        <v>19</v>
      </c>
      <c r="C41" s="68">
        <v>4</v>
      </c>
      <c r="D41" s="68">
        <v>3</v>
      </c>
      <c r="E41" s="68">
        <v>1</v>
      </c>
      <c r="F41" s="68">
        <v>2</v>
      </c>
      <c r="G41" s="68">
        <v>2</v>
      </c>
      <c r="H41" s="68">
        <v>0</v>
      </c>
      <c r="I41" s="68">
        <v>1</v>
      </c>
      <c r="J41" s="68">
        <v>4</v>
      </c>
      <c r="K41" s="68">
        <v>2</v>
      </c>
      <c r="L41" s="68">
        <v>0</v>
      </c>
      <c r="M41" s="68">
        <v>0</v>
      </c>
    </row>
    <row r="42" spans="1:13" ht="15.75" customHeight="1">
      <c r="A42" s="81" t="s">
        <v>400</v>
      </c>
      <c r="B42" s="262">
        <v>56</v>
      </c>
      <c r="C42" s="68">
        <v>11</v>
      </c>
      <c r="D42" s="68">
        <v>6</v>
      </c>
      <c r="E42" s="68">
        <v>6</v>
      </c>
      <c r="F42" s="68">
        <v>2</v>
      </c>
      <c r="G42" s="68">
        <v>11</v>
      </c>
      <c r="H42" s="68">
        <v>0</v>
      </c>
      <c r="I42" s="68">
        <v>6</v>
      </c>
      <c r="J42" s="68">
        <v>4</v>
      </c>
      <c r="K42" s="68">
        <v>6</v>
      </c>
      <c r="L42" s="68">
        <v>4</v>
      </c>
      <c r="M42" s="68">
        <v>0</v>
      </c>
    </row>
    <row r="43" spans="1:13" ht="15.75" customHeight="1">
      <c r="A43" s="81" t="s">
        <v>401</v>
      </c>
      <c r="B43" s="262">
        <v>1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1</v>
      </c>
      <c r="M43" s="68">
        <v>0</v>
      </c>
    </row>
    <row r="44" spans="1:13" ht="15.75" customHeight="1" thickBot="1">
      <c r="A44" s="82" t="s">
        <v>402</v>
      </c>
      <c r="B44" s="263">
        <v>20</v>
      </c>
      <c r="C44" s="83">
        <v>3</v>
      </c>
      <c r="D44" s="83">
        <v>1</v>
      </c>
      <c r="E44" s="83">
        <v>2</v>
      </c>
      <c r="F44" s="83">
        <v>0</v>
      </c>
      <c r="G44" s="83">
        <v>6</v>
      </c>
      <c r="H44" s="83">
        <v>1</v>
      </c>
      <c r="I44" s="83">
        <v>4</v>
      </c>
      <c r="J44" s="83">
        <v>3</v>
      </c>
      <c r="K44" s="83">
        <v>0</v>
      </c>
      <c r="L44" s="83">
        <v>0</v>
      </c>
      <c r="M44" s="83">
        <v>0</v>
      </c>
    </row>
    <row r="45" spans="1:13" ht="15.75" customHeight="1">
      <c r="A45" s="391" t="s">
        <v>635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</row>
  </sheetData>
  <sheetProtection/>
  <mergeCells count="5">
    <mergeCell ref="A1:M1"/>
    <mergeCell ref="A2:M2"/>
    <mergeCell ref="A3:M3"/>
    <mergeCell ref="C4:M4"/>
    <mergeCell ref="A45:M45"/>
  </mergeCells>
  <printOptions/>
  <pageMargins left="0.7" right="0.7" top="0.787401575" bottom="0.7874015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="85" zoomScaleNormal="85" zoomScalePageLayoutView="0" workbookViewId="0" topLeftCell="A1">
      <selection activeCell="K41" sqref="K41"/>
    </sheetView>
  </sheetViews>
  <sheetFormatPr defaultColWidth="11.421875" defaultRowHeight="12.75"/>
  <cols>
    <col min="1" max="1" width="54.7109375" style="180" customWidth="1"/>
    <col min="2" max="2" width="7.57421875" style="180" bestFit="1" customWidth="1"/>
    <col min="3" max="3" width="7.8515625" style="180" bestFit="1" customWidth="1"/>
    <col min="4" max="4" width="8.8515625" style="180" bestFit="1" customWidth="1"/>
    <col min="5" max="5" width="9.28125" style="180" bestFit="1" customWidth="1"/>
    <col min="6" max="6" width="6.57421875" style="180" bestFit="1" customWidth="1"/>
    <col min="7" max="7" width="8.8515625" style="180" bestFit="1" customWidth="1"/>
    <col min="8" max="8" width="9.28125" style="180" bestFit="1" customWidth="1"/>
    <col min="9" max="16384" width="11.421875" style="180" customWidth="1"/>
  </cols>
  <sheetData>
    <row r="1" spans="1:10" ht="18" customHeight="1">
      <c r="A1" s="407" t="s">
        <v>414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8" s="140" customFormat="1" ht="15.75" customHeight="1">
      <c r="A2" s="416" t="s">
        <v>528</v>
      </c>
      <c r="B2" s="416"/>
      <c r="C2" s="416"/>
      <c r="D2" s="416"/>
      <c r="E2" s="416"/>
      <c r="F2" s="416"/>
      <c r="G2" s="416"/>
      <c r="H2" s="416"/>
    </row>
    <row r="3" spans="1:8" s="140" customFormat="1" ht="15.75" customHeight="1" thickBot="1">
      <c r="A3" s="405" t="s">
        <v>445</v>
      </c>
      <c r="B3" s="405"/>
      <c r="C3" s="405"/>
      <c r="D3" s="405"/>
      <c r="E3" s="405"/>
      <c r="F3" s="405"/>
      <c r="G3" s="405"/>
      <c r="H3" s="405"/>
    </row>
    <row r="4" spans="1:8" s="140" customFormat="1" ht="15.75" customHeight="1">
      <c r="A4" s="88"/>
      <c r="B4" s="339" t="s">
        <v>134</v>
      </c>
      <c r="C4" s="411" t="s">
        <v>409</v>
      </c>
      <c r="D4" s="411"/>
      <c r="E4" s="411"/>
      <c r="F4" s="411"/>
      <c r="G4" s="411"/>
      <c r="H4" s="411"/>
    </row>
    <row r="5" spans="1:8" s="140" customFormat="1" ht="15.75" customHeight="1">
      <c r="A5" s="88"/>
      <c r="B5" s="351"/>
      <c r="C5" s="422" t="s">
        <v>74</v>
      </c>
      <c r="D5" s="422"/>
      <c r="E5" s="422"/>
      <c r="F5" s="422" t="s">
        <v>76</v>
      </c>
      <c r="G5" s="422"/>
      <c r="H5" s="422"/>
    </row>
    <row r="6" spans="1:8" s="140" customFormat="1" ht="15.75" customHeight="1">
      <c r="A6" s="88"/>
      <c r="B6" s="352"/>
      <c r="C6" s="349" t="s">
        <v>134</v>
      </c>
      <c r="D6" s="349" t="s">
        <v>22</v>
      </c>
      <c r="E6" s="349" t="s">
        <v>21</v>
      </c>
      <c r="F6" s="349" t="s">
        <v>134</v>
      </c>
      <c r="G6" s="349" t="s">
        <v>22</v>
      </c>
      <c r="H6" s="349" t="s">
        <v>21</v>
      </c>
    </row>
    <row r="7" spans="1:8" s="140" customFormat="1" ht="15.75" customHeight="1">
      <c r="A7" s="141" t="s">
        <v>134</v>
      </c>
      <c r="B7" s="261">
        <v>2052</v>
      </c>
      <c r="C7" s="98">
        <v>1098</v>
      </c>
      <c r="D7" s="98">
        <v>435</v>
      </c>
      <c r="E7" s="98">
        <v>663</v>
      </c>
      <c r="F7" s="98">
        <v>954</v>
      </c>
      <c r="G7" s="98">
        <v>371</v>
      </c>
      <c r="H7" s="98">
        <v>583</v>
      </c>
    </row>
    <row r="8" spans="1:8" s="140" customFormat="1" ht="15.75" customHeight="1">
      <c r="A8" s="141" t="s">
        <v>364</v>
      </c>
      <c r="B8" s="261">
        <v>7</v>
      </c>
      <c r="C8" s="98">
        <v>7</v>
      </c>
      <c r="D8" s="98">
        <v>3</v>
      </c>
      <c r="E8" s="98">
        <v>4</v>
      </c>
      <c r="F8" s="98">
        <v>0</v>
      </c>
      <c r="G8" s="98">
        <v>0</v>
      </c>
      <c r="H8" s="98">
        <v>0</v>
      </c>
    </row>
    <row r="9" spans="1:8" s="140" customFormat="1" ht="15.75" customHeight="1">
      <c r="A9" s="142" t="s">
        <v>365</v>
      </c>
      <c r="B9" s="262">
        <v>7</v>
      </c>
      <c r="C9" s="68">
        <v>7</v>
      </c>
      <c r="D9" s="68">
        <v>3</v>
      </c>
      <c r="E9" s="68">
        <v>4</v>
      </c>
      <c r="F9" s="68">
        <v>0</v>
      </c>
      <c r="G9" s="68">
        <v>0</v>
      </c>
      <c r="H9" s="68">
        <v>0</v>
      </c>
    </row>
    <row r="10" spans="1:8" s="140" customFormat="1" ht="15.75" customHeight="1">
      <c r="A10" s="141" t="s">
        <v>366</v>
      </c>
      <c r="B10" s="261">
        <v>661</v>
      </c>
      <c r="C10" s="98">
        <v>349</v>
      </c>
      <c r="D10" s="98">
        <v>68</v>
      </c>
      <c r="E10" s="98">
        <v>281</v>
      </c>
      <c r="F10" s="98">
        <v>312</v>
      </c>
      <c r="G10" s="98">
        <v>58</v>
      </c>
      <c r="H10" s="98">
        <v>254</v>
      </c>
    </row>
    <row r="11" spans="1:8" s="140" customFormat="1" ht="15.75" customHeight="1">
      <c r="A11" s="142" t="s">
        <v>368</v>
      </c>
      <c r="B11" s="262">
        <v>36</v>
      </c>
      <c r="C11" s="68">
        <v>13</v>
      </c>
      <c r="D11" s="68">
        <v>2</v>
      </c>
      <c r="E11" s="68">
        <v>11</v>
      </c>
      <c r="F11" s="68">
        <v>23</v>
      </c>
      <c r="G11" s="68">
        <v>4</v>
      </c>
      <c r="H11" s="68">
        <v>19</v>
      </c>
    </row>
    <row r="12" spans="1:8" s="140" customFormat="1" ht="15.75" customHeight="1">
      <c r="A12" s="142" t="s">
        <v>369</v>
      </c>
      <c r="B12" s="262">
        <v>11</v>
      </c>
      <c r="C12" s="68">
        <v>3</v>
      </c>
      <c r="D12" s="68">
        <v>3</v>
      </c>
      <c r="E12" s="68">
        <v>0</v>
      </c>
      <c r="F12" s="68">
        <v>8</v>
      </c>
      <c r="G12" s="68">
        <v>5</v>
      </c>
      <c r="H12" s="68">
        <v>3</v>
      </c>
    </row>
    <row r="13" spans="1:8" s="140" customFormat="1" ht="15.75" customHeight="1">
      <c r="A13" s="142" t="s">
        <v>370</v>
      </c>
      <c r="B13" s="262">
        <v>52</v>
      </c>
      <c r="C13" s="68">
        <v>28</v>
      </c>
      <c r="D13" s="68">
        <v>8</v>
      </c>
      <c r="E13" s="68">
        <v>20</v>
      </c>
      <c r="F13" s="68">
        <v>24</v>
      </c>
      <c r="G13" s="68">
        <v>4</v>
      </c>
      <c r="H13" s="68">
        <v>20</v>
      </c>
    </row>
    <row r="14" spans="1:8" s="140" customFormat="1" ht="15.75" customHeight="1">
      <c r="A14" s="142" t="s">
        <v>371</v>
      </c>
      <c r="B14" s="262">
        <v>27</v>
      </c>
      <c r="C14" s="68">
        <v>15</v>
      </c>
      <c r="D14" s="68">
        <v>6</v>
      </c>
      <c r="E14" s="68">
        <v>9</v>
      </c>
      <c r="F14" s="68">
        <v>12</v>
      </c>
      <c r="G14" s="68">
        <v>7</v>
      </c>
      <c r="H14" s="68">
        <v>5</v>
      </c>
    </row>
    <row r="15" spans="1:8" s="140" customFormat="1" ht="15.75" customHeight="1">
      <c r="A15" s="142" t="s">
        <v>372</v>
      </c>
      <c r="B15" s="262">
        <v>34</v>
      </c>
      <c r="C15" s="68">
        <v>17</v>
      </c>
      <c r="D15" s="68">
        <v>5</v>
      </c>
      <c r="E15" s="68">
        <v>12</v>
      </c>
      <c r="F15" s="68">
        <v>17</v>
      </c>
      <c r="G15" s="68">
        <v>2</v>
      </c>
      <c r="H15" s="68">
        <v>15</v>
      </c>
    </row>
    <row r="16" spans="1:8" s="140" customFormat="1" ht="15.75" customHeight="1">
      <c r="A16" s="142" t="s">
        <v>373</v>
      </c>
      <c r="B16" s="262">
        <v>85</v>
      </c>
      <c r="C16" s="68">
        <v>39</v>
      </c>
      <c r="D16" s="68">
        <v>6</v>
      </c>
      <c r="E16" s="68">
        <v>33</v>
      </c>
      <c r="F16" s="68">
        <v>46</v>
      </c>
      <c r="G16" s="68">
        <v>13</v>
      </c>
      <c r="H16" s="68">
        <v>33</v>
      </c>
    </row>
    <row r="17" spans="1:8" s="140" customFormat="1" ht="15.75" customHeight="1">
      <c r="A17" s="142" t="s">
        <v>374</v>
      </c>
      <c r="B17" s="262">
        <v>53</v>
      </c>
      <c r="C17" s="68">
        <v>35</v>
      </c>
      <c r="D17" s="68">
        <v>7</v>
      </c>
      <c r="E17" s="68">
        <v>28</v>
      </c>
      <c r="F17" s="68">
        <v>18</v>
      </c>
      <c r="G17" s="68">
        <v>4</v>
      </c>
      <c r="H17" s="68">
        <v>14</v>
      </c>
    </row>
    <row r="18" spans="1:8" s="140" customFormat="1" ht="15.75" customHeight="1">
      <c r="A18" s="142" t="s">
        <v>375</v>
      </c>
      <c r="B18" s="262">
        <v>17</v>
      </c>
      <c r="C18" s="68">
        <v>9</v>
      </c>
      <c r="D18" s="68">
        <v>2</v>
      </c>
      <c r="E18" s="68">
        <v>7</v>
      </c>
      <c r="F18" s="68">
        <v>8</v>
      </c>
      <c r="G18" s="68">
        <v>0</v>
      </c>
      <c r="H18" s="68">
        <v>8</v>
      </c>
    </row>
    <row r="19" spans="1:8" s="140" customFormat="1" ht="15.75" customHeight="1">
      <c r="A19" s="142" t="s">
        <v>376</v>
      </c>
      <c r="B19" s="262">
        <v>158</v>
      </c>
      <c r="C19" s="68">
        <v>89</v>
      </c>
      <c r="D19" s="68">
        <v>12</v>
      </c>
      <c r="E19" s="68">
        <v>77</v>
      </c>
      <c r="F19" s="68">
        <v>69</v>
      </c>
      <c r="G19" s="68">
        <v>11</v>
      </c>
      <c r="H19" s="68">
        <v>58</v>
      </c>
    </row>
    <row r="20" spans="1:8" s="140" customFormat="1" ht="15.75" customHeight="1">
      <c r="A20" s="142" t="s">
        <v>377</v>
      </c>
      <c r="B20" s="262">
        <v>27</v>
      </c>
      <c r="C20" s="68">
        <v>16</v>
      </c>
      <c r="D20" s="68">
        <v>2</v>
      </c>
      <c r="E20" s="68">
        <v>14</v>
      </c>
      <c r="F20" s="68">
        <v>11</v>
      </c>
      <c r="G20" s="68">
        <v>2</v>
      </c>
      <c r="H20" s="68">
        <v>9</v>
      </c>
    </row>
    <row r="21" spans="1:8" s="140" customFormat="1" ht="15.75" customHeight="1">
      <c r="A21" s="142" t="s">
        <v>378</v>
      </c>
      <c r="B21" s="262">
        <v>25</v>
      </c>
      <c r="C21" s="68">
        <v>11</v>
      </c>
      <c r="D21" s="68">
        <v>4</v>
      </c>
      <c r="E21" s="68">
        <v>7</v>
      </c>
      <c r="F21" s="68">
        <v>14</v>
      </c>
      <c r="G21" s="68">
        <v>1</v>
      </c>
      <c r="H21" s="68">
        <v>13</v>
      </c>
    </row>
    <row r="22" spans="1:8" s="140" customFormat="1" ht="15.75" customHeight="1">
      <c r="A22" s="142" t="s">
        <v>379</v>
      </c>
      <c r="B22" s="262">
        <v>24</v>
      </c>
      <c r="C22" s="68">
        <v>14</v>
      </c>
      <c r="D22" s="68">
        <v>2</v>
      </c>
      <c r="E22" s="68">
        <v>12</v>
      </c>
      <c r="F22" s="68">
        <v>10</v>
      </c>
      <c r="G22" s="68">
        <v>2</v>
      </c>
      <c r="H22" s="68">
        <v>8</v>
      </c>
    </row>
    <row r="23" spans="1:8" s="140" customFormat="1" ht="15.75" customHeight="1">
      <c r="A23" s="142" t="s">
        <v>380</v>
      </c>
      <c r="B23" s="262">
        <v>112</v>
      </c>
      <c r="C23" s="68">
        <v>60</v>
      </c>
      <c r="D23" s="68">
        <v>9</v>
      </c>
      <c r="E23" s="68">
        <v>51</v>
      </c>
      <c r="F23" s="68">
        <v>52</v>
      </c>
      <c r="G23" s="68">
        <v>3</v>
      </c>
      <c r="H23" s="68">
        <v>49</v>
      </c>
    </row>
    <row r="24" spans="1:8" s="140" customFormat="1" ht="15.75" customHeight="1">
      <c r="A24" s="141" t="s">
        <v>381</v>
      </c>
      <c r="B24" s="261">
        <v>1384</v>
      </c>
      <c r="C24" s="98">
        <v>742</v>
      </c>
      <c r="D24" s="98">
        <v>364</v>
      </c>
      <c r="E24" s="98">
        <v>378</v>
      </c>
      <c r="F24" s="98">
        <v>642</v>
      </c>
      <c r="G24" s="98">
        <v>313</v>
      </c>
      <c r="H24" s="98">
        <v>329</v>
      </c>
    </row>
    <row r="25" spans="1:8" s="140" customFormat="1" ht="15.75" customHeight="1">
      <c r="A25" s="142" t="s">
        <v>382</v>
      </c>
      <c r="B25" s="262">
        <v>343</v>
      </c>
      <c r="C25" s="68">
        <v>173</v>
      </c>
      <c r="D25" s="68">
        <v>79</v>
      </c>
      <c r="E25" s="68">
        <v>94</v>
      </c>
      <c r="F25" s="68">
        <v>170</v>
      </c>
      <c r="G25" s="68">
        <v>77</v>
      </c>
      <c r="H25" s="68">
        <v>93</v>
      </c>
    </row>
    <row r="26" spans="1:8" s="140" customFormat="1" ht="15.75" customHeight="1">
      <c r="A26" s="142" t="s">
        <v>383</v>
      </c>
      <c r="B26" s="262">
        <v>84</v>
      </c>
      <c r="C26" s="68">
        <v>43</v>
      </c>
      <c r="D26" s="68">
        <v>8</v>
      </c>
      <c r="E26" s="68">
        <v>35</v>
      </c>
      <c r="F26" s="68">
        <v>41</v>
      </c>
      <c r="G26" s="68">
        <v>5</v>
      </c>
      <c r="H26" s="68">
        <v>36</v>
      </c>
    </row>
    <row r="27" spans="1:8" s="140" customFormat="1" ht="15.75" customHeight="1">
      <c r="A27" s="142" t="s">
        <v>384</v>
      </c>
      <c r="B27" s="262">
        <v>64</v>
      </c>
      <c r="C27" s="68">
        <v>32</v>
      </c>
      <c r="D27" s="68">
        <v>24</v>
      </c>
      <c r="E27" s="68">
        <v>8</v>
      </c>
      <c r="F27" s="68">
        <v>32</v>
      </c>
      <c r="G27" s="68">
        <v>20</v>
      </c>
      <c r="H27" s="68">
        <v>12</v>
      </c>
    </row>
    <row r="28" spans="1:8" s="140" customFormat="1" ht="15.75" customHeight="1">
      <c r="A28" s="142" t="s">
        <v>385</v>
      </c>
      <c r="B28" s="262">
        <v>7</v>
      </c>
      <c r="C28" s="68">
        <v>3</v>
      </c>
      <c r="D28" s="68">
        <v>0</v>
      </c>
      <c r="E28" s="68">
        <v>3</v>
      </c>
      <c r="F28" s="68">
        <v>4</v>
      </c>
      <c r="G28" s="68">
        <v>2</v>
      </c>
      <c r="H28" s="68">
        <v>2</v>
      </c>
    </row>
    <row r="29" spans="1:8" s="140" customFormat="1" ht="15.75" customHeight="1">
      <c r="A29" s="142" t="s">
        <v>386</v>
      </c>
      <c r="B29" s="262">
        <v>8</v>
      </c>
      <c r="C29" s="68">
        <v>3</v>
      </c>
      <c r="D29" s="68">
        <v>0</v>
      </c>
      <c r="E29" s="68">
        <v>3</v>
      </c>
      <c r="F29" s="68">
        <v>5</v>
      </c>
      <c r="G29" s="68">
        <v>2</v>
      </c>
      <c r="H29" s="68">
        <v>3</v>
      </c>
    </row>
    <row r="30" spans="1:8" s="140" customFormat="1" ht="15.75" customHeight="1">
      <c r="A30" s="142" t="s">
        <v>387</v>
      </c>
      <c r="B30" s="262">
        <v>45</v>
      </c>
      <c r="C30" s="68">
        <v>32</v>
      </c>
      <c r="D30" s="68">
        <v>3</v>
      </c>
      <c r="E30" s="68">
        <v>29</v>
      </c>
      <c r="F30" s="68">
        <v>13</v>
      </c>
      <c r="G30" s="68">
        <v>4</v>
      </c>
      <c r="H30" s="68">
        <v>9</v>
      </c>
    </row>
    <row r="31" spans="1:8" s="140" customFormat="1" ht="15.75" customHeight="1">
      <c r="A31" s="142" t="s">
        <v>388</v>
      </c>
      <c r="B31" s="262">
        <v>95</v>
      </c>
      <c r="C31" s="68">
        <v>52</v>
      </c>
      <c r="D31" s="68">
        <v>11</v>
      </c>
      <c r="E31" s="68">
        <v>41</v>
      </c>
      <c r="F31" s="68">
        <v>43</v>
      </c>
      <c r="G31" s="68">
        <v>13</v>
      </c>
      <c r="H31" s="68">
        <v>30</v>
      </c>
    </row>
    <row r="32" spans="1:8" s="140" customFormat="1" ht="15.75" customHeight="1">
      <c r="A32" s="142" t="s">
        <v>389</v>
      </c>
      <c r="B32" s="262">
        <v>18</v>
      </c>
      <c r="C32" s="68">
        <v>8</v>
      </c>
      <c r="D32" s="68">
        <v>4</v>
      </c>
      <c r="E32" s="68">
        <v>4</v>
      </c>
      <c r="F32" s="68">
        <v>10</v>
      </c>
      <c r="G32" s="68">
        <v>4</v>
      </c>
      <c r="H32" s="68">
        <v>6</v>
      </c>
    </row>
    <row r="33" spans="1:8" s="140" customFormat="1" ht="15.75" customHeight="1">
      <c r="A33" s="142" t="s">
        <v>390</v>
      </c>
      <c r="B33" s="262">
        <v>21</v>
      </c>
      <c r="C33" s="68">
        <v>10</v>
      </c>
      <c r="D33" s="68">
        <v>6</v>
      </c>
      <c r="E33" s="68">
        <v>4</v>
      </c>
      <c r="F33" s="68">
        <v>11</v>
      </c>
      <c r="G33" s="68">
        <v>5</v>
      </c>
      <c r="H33" s="68">
        <v>6</v>
      </c>
    </row>
    <row r="34" spans="1:8" s="140" customFormat="1" ht="15.75" customHeight="1">
      <c r="A34" s="142" t="s">
        <v>391</v>
      </c>
      <c r="B34" s="262">
        <v>28</v>
      </c>
      <c r="C34" s="68">
        <v>11</v>
      </c>
      <c r="D34" s="68">
        <v>0</v>
      </c>
      <c r="E34" s="68">
        <v>11</v>
      </c>
      <c r="F34" s="68">
        <v>17</v>
      </c>
      <c r="G34" s="68">
        <v>6</v>
      </c>
      <c r="H34" s="68">
        <v>11</v>
      </c>
    </row>
    <row r="35" spans="1:8" s="140" customFormat="1" ht="15.75" customHeight="1">
      <c r="A35" s="142" t="s">
        <v>392</v>
      </c>
      <c r="B35" s="262">
        <v>55</v>
      </c>
      <c r="C35" s="68">
        <v>24</v>
      </c>
      <c r="D35" s="68">
        <v>3</v>
      </c>
      <c r="E35" s="68">
        <v>21</v>
      </c>
      <c r="F35" s="68">
        <v>31</v>
      </c>
      <c r="G35" s="68">
        <v>4</v>
      </c>
      <c r="H35" s="68">
        <v>27</v>
      </c>
    </row>
    <row r="36" spans="1:8" s="140" customFormat="1" ht="15.75" customHeight="1">
      <c r="A36" s="142" t="s">
        <v>393</v>
      </c>
      <c r="B36" s="262">
        <v>19</v>
      </c>
      <c r="C36" s="68">
        <v>12</v>
      </c>
      <c r="D36" s="68">
        <v>5</v>
      </c>
      <c r="E36" s="68">
        <v>7</v>
      </c>
      <c r="F36" s="68">
        <v>7</v>
      </c>
      <c r="G36" s="68">
        <v>2</v>
      </c>
      <c r="H36" s="68">
        <v>5</v>
      </c>
    </row>
    <row r="37" spans="1:8" s="140" customFormat="1" ht="15.75" customHeight="1">
      <c r="A37" s="142" t="s">
        <v>394</v>
      </c>
      <c r="B37" s="262">
        <v>62</v>
      </c>
      <c r="C37" s="68">
        <v>40</v>
      </c>
      <c r="D37" s="68">
        <v>15</v>
      </c>
      <c r="E37" s="68">
        <v>25</v>
      </c>
      <c r="F37" s="68">
        <v>22</v>
      </c>
      <c r="G37" s="68">
        <v>5</v>
      </c>
      <c r="H37" s="68">
        <v>17</v>
      </c>
    </row>
    <row r="38" spans="1:8" s="140" customFormat="1" ht="15.75" customHeight="1">
      <c r="A38" s="142" t="s">
        <v>395</v>
      </c>
      <c r="B38" s="262">
        <v>55</v>
      </c>
      <c r="C38" s="68">
        <v>25</v>
      </c>
      <c r="D38" s="68">
        <v>19</v>
      </c>
      <c r="E38" s="68">
        <v>6</v>
      </c>
      <c r="F38" s="68">
        <v>30</v>
      </c>
      <c r="G38" s="68">
        <v>17</v>
      </c>
      <c r="H38" s="68">
        <v>13</v>
      </c>
    </row>
    <row r="39" spans="1:8" s="140" customFormat="1" ht="15.75" customHeight="1">
      <c r="A39" s="142" t="s">
        <v>396</v>
      </c>
      <c r="B39" s="262">
        <v>108</v>
      </c>
      <c r="C39" s="68">
        <v>59</v>
      </c>
      <c r="D39" s="68">
        <v>26</v>
      </c>
      <c r="E39" s="68">
        <v>33</v>
      </c>
      <c r="F39" s="68">
        <v>49</v>
      </c>
      <c r="G39" s="68">
        <v>27</v>
      </c>
      <c r="H39" s="68">
        <v>22</v>
      </c>
    </row>
    <row r="40" spans="1:8" s="140" customFormat="1" ht="15.75" customHeight="1">
      <c r="A40" s="142" t="s">
        <v>397</v>
      </c>
      <c r="B40" s="262">
        <v>196</v>
      </c>
      <c r="C40" s="68">
        <v>111</v>
      </c>
      <c r="D40" s="68">
        <v>88</v>
      </c>
      <c r="E40" s="68">
        <v>23</v>
      </c>
      <c r="F40" s="68">
        <v>85</v>
      </c>
      <c r="G40" s="68">
        <v>66</v>
      </c>
      <c r="H40" s="68">
        <v>19</v>
      </c>
    </row>
    <row r="41" spans="1:8" s="140" customFormat="1" ht="15.75" customHeight="1">
      <c r="A41" s="142" t="s">
        <v>398</v>
      </c>
      <c r="B41" s="262">
        <v>80</v>
      </c>
      <c r="C41" s="68">
        <v>50</v>
      </c>
      <c r="D41" s="68">
        <v>39</v>
      </c>
      <c r="E41" s="68">
        <v>11</v>
      </c>
      <c r="F41" s="68">
        <v>30</v>
      </c>
      <c r="G41" s="68">
        <v>25</v>
      </c>
      <c r="H41" s="68">
        <v>5</v>
      </c>
    </row>
    <row r="42" spans="1:8" s="140" customFormat="1" ht="15.75" customHeight="1">
      <c r="A42" s="142" t="s">
        <v>399</v>
      </c>
      <c r="B42" s="262">
        <v>19</v>
      </c>
      <c r="C42" s="68">
        <v>9</v>
      </c>
      <c r="D42" s="68">
        <v>3</v>
      </c>
      <c r="E42" s="68">
        <v>6</v>
      </c>
      <c r="F42" s="68">
        <v>10</v>
      </c>
      <c r="G42" s="68">
        <v>4</v>
      </c>
      <c r="H42" s="68">
        <v>6</v>
      </c>
    </row>
    <row r="43" spans="1:8" s="140" customFormat="1" ht="15.75" customHeight="1">
      <c r="A43" s="142" t="s">
        <v>400</v>
      </c>
      <c r="B43" s="262">
        <v>56</v>
      </c>
      <c r="C43" s="68">
        <v>27</v>
      </c>
      <c r="D43" s="68">
        <v>21</v>
      </c>
      <c r="E43" s="68">
        <v>6</v>
      </c>
      <c r="F43" s="68">
        <v>29</v>
      </c>
      <c r="G43" s="68">
        <v>22</v>
      </c>
      <c r="H43" s="68">
        <v>7</v>
      </c>
    </row>
    <row r="44" spans="1:8" s="140" customFormat="1" ht="15.75" customHeight="1">
      <c r="A44" s="142" t="s">
        <v>401</v>
      </c>
      <c r="B44" s="262">
        <v>1</v>
      </c>
      <c r="C44" s="68">
        <v>0</v>
      </c>
      <c r="D44" s="68">
        <v>0</v>
      </c>
      <c r="E44" s="68">
        <v>0</v>
      </c>
      <c r="F44" s="68">
        <v>1</v>
      </c>
      <c r="G44" s="68">
        <v>1</v>
      </c>
      <c r="H44" s="68">
        <v>0</v>
      </c>
    </row>
    <row r="45" spans="1:13" s="140" customFormat="1" ht="15.75" customHeight="1" thickBot="1">
      <c r="A45" s="144" t="s">
        <v>402</v>
      </c>
      <c r="B45" s="263">
        <v>20</v>
      </c>
      <c r="C45" s="83">
        <v>18</v>
      </c>
      <c r="D45" s="83">
        <v>10</v>
      </c>
      <c r="E45" s="83">
        <v>8</v>
      </c>
      <c r="F45" s="83">
        <v>2</v>
      </c>
      <c r="G45" s="83">
        <v>2</v>
      </c>
      <c r="H45" s="83">
        <v>0</v>
      </c>
      <c r="I45" s="254"/>
      <c r="J45" s="254"/>
      <c r="K45" s="254"/>
      <c r="L45" s="254"/>
      <c r="M45" s="254"/>
    </row>
    <row r="46" spans="1:13" ht="14.25">
      <c r="A46" s="391" t="s">
        <v>635</v>
      </c>
      <c r="B46" s="391"/>
      <c r="C46" s="391"/>
      <c r="D46" s="391"/>
      <c r="E46" s="391"/>
      <c r="F46" s="391"/>
      <c r="G46" s="391"/>
      <c r="H46" s="391"/>
      <c r="I46" s="181"/>
      <c r="J46" s="181"/>
      <c r="K46" s="181"/>
      <c r="L46" s="181"/>
      <c r="M46" s="181"/>
    </row>
  </sheetData>
  <sheetProtection/>
  <mergeCells count="7">
    <mergeCell ref="A1:J1"/>
    <mergeCell ref="A46:H46"/>
    <mergeCell ref="A2:H2"/>
    <mergeCell ref="A3:H3"/>
    <mergeCell ref="C5:E5"/>
    <mergeCell ref="F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="85" zoomScaleNormal="85" zoomScalePageLayoutView="0" workbookViewId="0" topLeftCell="A1">
      <selection activeCell="H25" sqref="H25"/>
    </sheetView>
  </sheetViews>
  <sheetFormatPr defaultColWidth="11.421875" defaultRowHeight="12.75"/>
  <cols>
    <col min="1" max="1" width="54.7109375" style="149" bestFit="1" customWidth="1"/>
    <col min="2" max="2" width="9.57421875" style="149" bestFit="1" customWidth="1"/>
    <col min="3" max="3" width="17.57421875" style="149" bestFit="1" customWidth="1"/>
    <col min="4" max="4" width="19.140625" style="149" bestFit="1" customWidth="1"/>
    <col min="5" max="5" width="20.7109375" style="149" bestFit="1" customWidth="1"/>
    <col min="6" max="6" width="21.140625" style="149" bestFit="1" customWidth="1"/>
    <col min="7" max="7" width="20.28125" style="149" customWidth="1"/>
    <col min="8" max="16384" width="11.421875" style="149" customWidth="1"/>
  </cols>
  <sheetData>
    <row r="1" spans="1:7" ht="18" customHeight="1">
      <c r="A1" s="407" t="s">
        <v>415</v>
      </c>
      <c r="B1" s="407"/>
      <c r="C1" s="407"/>
      <c r="D1" s="407"/>
      <c r="E1" s="407"/>
      <c r="F1" s="407"/>
      <c r="G1" s="148"/>
    </row>
    <row r="2" spans="1:7" s="41" customFormat="1" ht="15.75" customHeight="1">
      <c r="A2" s="416" t="s">
        <v>528</v>
      </c>
      <c r="B2" s="416"/>
      <c r="C2" s="416"/>
      <c r="D2" s="416"/>
      <c r="E2" s="416"/>
      <c r="F2" s="416"/>
      <c r="G2" s="150"/>
    </row>
    <row r="3" spans="1:14" s="41" customFormat="1" ht="15.75" customHeight="1" thickBot="1">
      <c r="A3" s="405" t="s">
        <v>446</v>
      </c>
      <c r="B3" s="405"/>
      <c r="C3" s="405"/>
      <c r="D3" s="405"/>
      <c r="E3" s="405"/>
      <c r="F3" s="405"/>
      <c r="G3" s="150"/>
      <c r="I3" s="150"/>
      <c r="J3" s="150"/>
      <c r="K3" s="150"/>
      <c r="L3" s="150"/>
      <c r="M3" s="150"/>
      <c r="N3" s="150"/>
    </row>
    <row r="4" spans="1:6" s="41" customFormat="1" ht="15.75" customHeight="1">
      <c r="A4" s="129"/>
      <c r="B4" s="339" t="s">
        <v>134</v>
      </c>
      <c r="C4" s="411" t="s">
        <v>411</v>
      </c>
      <c r="D4" s="411"/>
      <c r="E4" s="411"/>
      <c r="F4" s="411"/>
    </row>
    <row r="5" spans="1:6" s="41" customFormat="1" ht="15.75" customHeight="1">
      <c r="A5" s="129"/>
      <c r="B5" s="353"/>
      <c r="C5" s="338" t="s">
        <v>74</v>
      </c>
      <c r="D5" s="338" t="s">
        <v>79</v>
      </c>
      <c r="E5" s="338" t="s">
        <v>256</v>
      </c>
      <c r="F5" s="338" t="s">
        <v>81</v>
      </c>
    </row>
    <row r="6" spans="1:6" s="41" customFormat="1" ht="15.75" customHeight="1">
      <c r="A6" s="79" t="s">
        <v>134</v>
      </c>
      <c r="B6" s="261">
        <v>2052</v>
      </c>
      <c r="C6" s="98">
        <v>1098</v>
      </c>
      <c r="D6" s="98">
        <v>188</v>
      </c>
      <c r="E6" s="98">
        <v>550</v>
      </c>
      <c r="F6" s="98">
        <v>216</v>
      </c>
    </row>
    <row r="7" spans="1:6" s="41" customFormat="1" ht="15.75" customHeight="1">
      <c r="A7" s="79" t="s">
        <v>364</v>
      </c>
      <c r="B7" s="261">
        <v>7</v>
      </c>
      <c r="C7" s="98">
        <v>7</v>
      </c>
      <c r="D7" s="98">
        <v>0</v>
      </c>
      <c r="E7" s="98">
        <v>0</v>
      </c>
      <c r="F7" s="98">
        <v>0</v>
      </c>
    </row>
    <row r="8" spans="1:6" s="41" customFormat="1" ht="15.75" customHeight="1">
      <c r="A8" s="75" t="s">
        <v>365</v>
      </c>
      <c r="B8" s="262">
        <v>7</v>
      </c>
      <c r="C8" s="68">
        <v>7</v>
      </c>
      <c r="D8" s="68">
        <v>0</v>
      </c>
      <c r="E8" s="68">
        <v>0</v>
      </c>
      <c r="F8" s="68">
        <v>0</v>
      </c>
    </row>
    <row r="9" spans="1:6" s="41" customFormat="1" ht="15.75" customHeight="1">
      <c r="A9" s="79" t="s">
        <v>366</v>
      </c>
      <c r="B9" s="261">
        <v>661</v>
      </c>
      <c r="C9" s="98">
        <v>349</v>
      </c>
      <c r="D9" s="98">
        <v>51</v>
      </c>
      <c r="E9" s="98">
        <v>196</v>
      </c>
      <c r="F9" s="98">
        <v>65</v>
      </c>
    </row>
    <row r="10" spans="1:6" s="41" customFormat="1" ht="15.75" customHeight="1">
      <c r="A10" s="75" t="s">
        <v>368</v>
      </c>
      <c r="B10" s="262">
        <v>36</v>
      </c>
      <c r="C10" s="68">
        <v>13</v>
      </c>
      <c r="D10" s="68">
        <v>3</v>
      </c>
      <c r="E10" s="68">
        <v>18</v>
      </c>
      <c r="F10" s="68">
        <v>2</v>
      </c>
    </row>
    <row r="11" spans="1:6" s="41" customFormat="1" ht="15.75" customHeight="1">
      <c r="A11" s="75" t="s">
        <v>369</v>
      </c>
      <c r="B11" s="262">
        <v>11</v>
      </c>
      <c r="C11" s="68">
        <v>3</v>
      </c>
      <c r="D11" s="68">
        <v>2</v>
      </c>
      <c r="E11" s="68">
        <v>6</v>
      </c>
      <c r="F11" s="68">
        <v>0</v>
      </c>
    </row>
    <row r="12" spans="1:6" s="41" customFormat="1" ht="15.75" customHeight="1">
      <c r="A12" s="75" t="s">
        <v>370</v>
      </c>
      <c r="B12" s="262">
        <v>52</v>
      </c>
      <c r="C12" s="68">
        <v>28</v>
      </c>
      <c r="D12" s="68">
        <v>5</v>
      </c>
      <c r="E12" s="68">
        <v>15</v>
      </c>
      <c r="F12" s="68">
        <v>4</v>
      </c>
    </row>
    <row r="13" spans="1:6" s="41" customFormat="1" ht="15.75" customHeight="1">
      <c r="A13" s="75" t="s">
        <v>371</v>
      </c>
      <c r="B13" s="262">
        <v>27</v>
      </c>
      <c r="C13" s="68">
        <v>15</v>
      </c>
      <c r="D13" s="68">
        <v>1</v>
      </c>
      <c r="E13" s="68">
        <v>9</v>
      </c>
      <c r="F13" s="68">
        <v>2</v>
      </c>
    </row>
    <row r="14" spans="1:6" s="41" customFormat="1" ht="15.75" customHeight="1">
      <c r="A14" s="75" t="s">
        <v>372</v>
      </c>
      <c r="B14" s="262">
        <v>34</v>
      </c>
      <c r="C14" s="68">
        <v>17</v>
      </c>
      <c r="D14" s="68">
        <v>3</v>
      </c>
      <c r="E14" s="68">
        <v>9</v>
      </c>
      <c r="F14" s="68">
        <v>5</v>
      </c>
    </row>
    <row r="15" spans="1:6" s="41" customFormat="1" ht="15.75" customHeight="1">
      <c r="A15" s="75" t="s">
        <v>373</v>
      </c>
      <c r="B15" s="262">
        <v>85</v>
      </c>
      <c r="C15" s="68">
        <v>39</v>
      </c>
      <c r="D15" s="68">
        <v>10</v>
      </c>
      <c r="E15" s="68">
        <v>27</v>
      </c>
      <c r="F15" s="68">
        <v>9</v>
      </c>
    </row>
    <row r="16" spans="1:6" s="41" customFormat="1" ht="15.75" customHeight="1">
      <c r="A16" s="75" t="s">
        <v>374</v>
      </c>
      <c r="B16" s="262">
        <v>53</v>
      </c>
      <c r="C16" s="68">
        <v>35</v>
      </c>
      <c r="D16" s="68">
        <v>3</v>
      </c>
      <c r="E16" s="68">
        <v>12</v>
      </c>
      <c r="F16" s="68">
        <v>3</v>
      </c>
    </row>
    <row r="17" spans="1:6" s="41" customFormat="1" ht="15.75" customHeight="1">
      <c r="A17" s="75" t="s">
        <v>375</v>
      </c>
      <c r="B17" s="262">
        <v>17</v>
      </c>
      <c r="C17" s="68">
        <v>9</v>
      </c>
      <c r="D17" s="68">
        <v>2</v>
      </c>
      <c r="E17" s="68">
        <v>4</v>
      </c>
      <c r="F17" s="68">
        <v>2</v>
      </c>
    </row>
    <row r="18" spans="1:6" s="41" customFormat="1" ht="15.75" customHeight="1">
      <c r="A18" s="75" t="s">
        <v>376</v>
      </c>
      <c r="B18" s="262">
        <v>158</v>
      </c>
      <c r="C18" s="68">
        <v>89</v>
      </c>
      <c r="D18" s="68">
        <v>9</v>
      </c>
      <c r="E18" s="68">
        <v>41</v>
      </c>
      <c r="F18" s="68">
        <v>19</v>
      </c>
    </row>
    <row r="19" spans="1:6" s="41" customFormat="1" ht="15.75" customHeight="1">
      <c r="A19" s="75" t="s">
        <v>377</v>
      </c>
      <c r="B19" s="262">
        <v>27</v>
      </c>
      <c r="C19" s="68">
        <v>16</v>
      </c>
      <c r="D19" s="68">
        <v>3</v>
      </c>
      <c r="E19" s="68">
        <v>8</v>
      </c>
      <c r="F19" s="68">
        <v>0</v>
      </c>
    </row>
    <row r="20" spans="1:6" s="41" customFormat="1" ht="15.75" customHeight="1">
      <c r="A20" s="75" t="s">
        <v>378</v>
      </c>
      <c r="B20" s="262">
        <v>25</v>
      </c>
      <c r="C20" s="68">
        <v>11</v>
      </c>
      <c r="D20" s="68">
        <v>2</v>
      </c>
      <c r="E20" s="68">
        <v>9</v>
      </c>
      <c r="F20" s="68">
        <v>3</v>
      </c>
    </row>
    <row r="21" spans="1:6" s="41" customFormat="1" ht="15.75" customHeight="1">
      <c r="A21" s="75" t="s">
        <v>379</v>
      </c>
      <c r="B21" s="262">
        <v>24</v>
      </c>
      <c r="C21" s="68">
        <v>14</v>
      </c>
      <c r="D21" s="68">
        <v>1</v>
      </c>
      <c r="E21" s="68">
        <v>7</v>
      </c>
      <c r="F21" s="68">
        <v>2</v>
      </c>
    </row>
    <row r="22" spans="1:6" s="41" customFormat="1" ht="15.75" customHeight="1">
      <c r="A22" s="75" t="s">
        <v>380</v>
      </c>
      <c r="B22" s="262">
        <v>112</v>
      </c>
      <c r="C22" s="68">
        <v>60</v>
      </c>
      <c r="D22" s="68">
        <v>7</v>
      </c>
      <c r="E22" s="68">
        <v>31</v>
      </c>
      <c r="F22" s="68">
        <v>14</v>
      </c>
    </row>
    <row r="23" spans="1:6" s="41" customFormat="1" ht="15.75" customHeight="1">
      <c r="A23" s="137" t="s">
        <v>381</v>
      </c>
      <c r="B23" s="261">
        <v>1384</v>
      </c>
      <c r="C23" s="98">
        <v>742</v>
      </c>
      <c r="D23" s="98">
        <v>137</v>
      </c>
      <c r="E23" s="98">
        <v>354</v>
      </c>
      <c r="F23" s="98">
        <v>151</v>
      </c>
    </row>
    <row r="24" spans="1:6" s="41" customFormat="1" ht="15.75" customHeight="1">
      <c r="A24" s="75" t="s">
        <v>382</v>
      </c>
      <c r="B24" s="262">
        <v>343</v>
      </c>
      <c r="C24" s="68">
        <v>173</v>
      </c>
      <c r="D24" s="68">
        <v>46</v>
      </c>
      <c r="E24" s="68">
        <v>93</v>
      </c>
      <c r="F24" s="68">
        <v>31</v>
      </c>
    </row>
    <row r="25" spans="1:6" s="41" customFormat="1" ht="15.75" customHeight="1">
      <c r="A25" s="75" t="s">
        <v>383</v>
      </c>
      <c r="B25" s="262">
        <v>84</v>
      </c>
      <c r="C25" s="68">
        <v>43</v>
      </c>
      <c r="D25" s="68">
        <v>8</v>
      </c>
      <c r="E25" s="68">
        <v>21</v>
      </c>
      <c r="F25" s="68">
        <v>12</v>
      </c>
    </row>
    <row r="26" spans="1:6" s="41" customFormat="1" ht="15.75" customHeight="1">
      <c r="A26" s="75" t="s">
        <v>384</v>
      </c>
      <c r="B26" s="262">
        <v>64</v>
      </c>
      <c r="C26" s="68">
        <v>32</v>
      </c>
      <c r="D26" s="68">
        <v>7</v>
      </c>
      <c r="E26" s="68">
        <v>19</v>
      </c>
      <c r="F26" s="68">
        <v>6</v>
      </c>
    </row>
    <row r="27" spans="1:6" s="41" customFormat="1" ht="15.75" customHeight="1">
      <c r="A27" s="75" t="s">
        <v>385</v>
      </c>
      <c r="B27" s="262">
        <v>7</v>
      </c>
      <c r="C27" s="68">
        <v>3</v>
      </c>
      <c r="D27" s="68">
        <v>0</v>
      </c>
      <c r="E27" s="68">
        <v>2</v>
      </c>
      <c r="F27" s="68">
        <v>2</v>
      </c>
    </row>
    <row r="28" spans="1:6" s="41" customFormat="1" ht="15.75" customHeight="1">
      <c r="A28" s="75" t="s">
        <v>386</v>
      </c>
      <c r="B28" s="262">
        <v>8</v>
      </c>
      <c r="C28" s="68">
        <v>3</v>
      </c>
      <c r="D28" s="68">
        <v>1</v>
      </c>
      <c r="E28" s="68">
        <v>1</v>
      </c>
      <c r="F28" s="68">
        <v>3</v>
      </c>
    </row>
    <row r="29" spans="1:6" s="41" customFormat="1" ht="15.75" customHeight="1">
      <c r="A29" s="75" t="s">
        <v>387</v>
      </c>
      <c r="B29" s="262">
        <v>45</v>
      </c>
      <c r="C29" s="68">
        <v>32</v>
      </c>
      <c r="D29" s="68">
        <v>7</v>
      </c>
      <c r="E29" s="68">
        <v>5</v>
      </c>
      <c r="F29" s="68">
        <v>1</v>
      </c>
    </row>
    <row r="30" spans="1:6" s="41" customFormat="1" ht="15.75" customHeight="1">
      <c r="A30" s="75" t="s">
        <v>388</v>
      </c>
      <c r="B30" s="262">
        <v>95</v>
      </c>
      <c r="C30" s="68">
        <v>52</v>
      </c>
      <c r="D30" s="68">
        <v>6</v>
      </c>
      <c r="E30" s="68">
        <v>25</v>
      </c>
      <c r="F30" s="68">
        <v>12</v>
      </c>
    </row>
    <row r="31" spans="1:6" s="41" customFormat="1" ht="15.75" customHeight="1">
      <c r="A31" s="75" t="s">
        <v>389</v>
      </c>
      <c r="B31" s="262">
        <v>18</v>
      </c>
      <c r="C31" s="68">
        <v>8</v>
      </c>
      <c r="D31" s="68">
        <v>2</v>
      </c>
      <c r="E31" s="68">
        <v>6</v>
      </c>
      <c r="F31" s="68">
        <v>2</v>
      </c>
    </row>
    <row r="32" spans="1:6" s="41" customFormat="1" ht="15.75" customHeight="1">
      <c r="A32" s="75" t="s">
        <v>390</v>
      </c>
      <c r="B32" s="262">
        <v>21</v>
      </c>
      <c r="C32" s="68">
        <v>10</v>
      </c>
      <c r="D32" s="68">
        <v>3</v>
      </c>
      <c r="E32" s="68">
        <v>4</v>
      </c>
      <c r="F32" s="68">
        <v>4</v>
      </c>
    </row>
    <row r="33" spans="1:6" s="41" customFormat="1" ht="15.75" customHeight="1">
      <c r="A33" s="75" t="s">
        <v>391</v>
      </c>
      <c r="B33" s="262">
        <v>28</v>
      </c>
      <c r="C33" s="68">
        <v>11</v>
      </c>
      <c r="D33" s="68">
        <v>2</v>
      </c>
      <c r="E33" s="68">
        <v>10</v>
      </c>
      <c r="F33" s="68">
        <v>5</v>
      </c>
    </row>
    <row r="34" spans="1:6" s="41" customFormat="1" ht="15.75" customHeight="1">
      <c r="A34" s="75" t="s">
        <v>392</v>
      </c>
      <c r="B34" s="262">
        <v>55</v>
      </c>
      <c r="C34" s="68">
        <v>24</v>
      </c>
      <c r="D34" s="68">
        <v>7</v>
      </c>
      <c r="E34" s="68">
        <v>19</v>
      </c>
      <c r="F34" s="68">
        <v>5</v>
      </c>
    </row>
    <row r="35" spans="1:6" s="41" customFormat="1" ht="15.75" customHeight="1">
      <c r="A35" s="75" t="s">
        <v>393</v>
      </c>
      <c r="B35" s="262">
        <v>19</v>
      </c>
      <c r="C35" s="68">
        <v>12</v>
      </c>
      <c r="D35" s="68">
        <v>0</v>
      </c>
      <c r="E35" s="68">
        <v>4</v>
      </c>
      <c r="F35" s="68">
        <v>3</v>
      </c>
    </row>
    <row r="36" spans="1:6" s="41" customFormat="1" ht="15.75" customHeight="1">
      <c r="A36" s="75" t="s">
        <v>394</v>
      </c>
      <c r="B36" s="262">
        <v>62</v>
      </c>
      <c r="C36" s="68">
        <v>40</v>
      </c>
      <c r="D36" s="68">
        <v>5</v>
      </c>
      <c r="E36" s="68">
        <v>10</v>
      </c>
      <c r="F36" s="68">
        <v>7</v>
      </c>
    </row>
    <row r="37" spans="1:6" s="41" customFormat="1" ht="15.75" customHeight="1">
      <c r="A37" s="75" t="s">
        <v>395</v>
      </c>
      <c r="B37" s="262">
        <v>55</v>
      </c>
      <c r="C37" s="68">
        <v>25</v>
      </c>
      <c r="D37" s="68">
        <v>6</v>
      </c>
      <c r="E37" s="68">
        <v>17</v>
      </c>
      <c r="F37" s="68">
        <v>7</v>
      </c>
    </row>
    <row r="38" spans="1:6" s="41" customFormat="1" ht="15.75" customHeight="1">
      <c r="A38" s="75" t="s">
        <v>396</v>
      </c>
      <c r="B38" s="262">
        <v>108</v>
      </c>
      <c r="C38" s="68">
        <v>59</v>
      </c>
      <c r="D38" s="68">
        <v>5</v>
      </c>
      <c r="E38" s="68">
        <v>32</v>
      </c>
      <c r="F38" s="68">
        <v>12</v>
      </c>
    </row>
    <row r="39" spans="1:6" s="41" customFormat="1" ht="15.75" customHeight="1">
      <c r="A39" s="75" t="s">
        <v>397</v>
      </c>
      <c r="B39" s="262">
        <v>196</v>
      </c>
      <c r="C39" s="68">
        <v>111</v>
      </c>
      <c r="D39" s="68">
        <v>13</v>
      </c>
      <c r="E39" s="68">
        <v>49</v>
      </c>
      <c r="F39" s="68">
        <v>23</v>
      </c>
    </row>
    <row r="40" spans="1:6" s="41" customFormat="1" ht="15.75" customHeight="1">
      <c r="A40" s="75" t="s">
        <v>398</v>
      </c>
      <c r="B40" s="262">
        <v>80</v>
      </c>
      <c r="C40" s="68">
        <v>50</v>
      </c>
      <c r="D40" s="68">
        <v>7</v>
      </c>
      <c r="E40" s="68">
        <v>17</v>
      </c>
      <c r="F40" s="68">
        <v>6</v>
      </c>
    </row>
    <row r="41" spans="1:6" s="41" customFormat="1" ht="15.75" customHeight="1">
      <c r="A41" s="75" t="s">
        <v>399</v>
      </c>
      <c r="B41" s="262">
        <v>19</v>
      </c>
      <c r="C41" s="68">
        <v>9</v>
      </c>
      <c r="D41" s="68">
        <v>2</v>
      </c>
      <c r="E41" s="68">
        <v>5</v>
      </c>
      <c r="F41" s="68">
        <v>3</v>
      </c>
    </row>
    <row r="42" spans="1:6" s="41" customFormat="1" ht="15.75" customHeight="1">
      <c r="A42" s="75" t="s">
        <v>400</v>
      </c>
      <c r="B42" s="262">
        <v>56</v>
      </c>
      <c r="C42" s="68">
        <v>27</v>
      </c>
      <c r="D42" s="68">
        <v>9</v>
      </c>
      <c r="E42" s="68">
        <v>14</v>
      </c>
      <c r="F42" s="68">
        <v>6</v>
      </c>
    </row>
    <row r="43" spans="1:6" s="41" customFormat="1" ht="15.75" customHeight="1">
      <c r="A43" s="75" t="s">
        <v>401</v>
      </c>
      <c r="B43" s="262">
        <v>1</v>
      </c>
      <c r="C43" s="68">
        <v>0</v>
      </c>
      <c r="D43" s="68">
        <v>1</v>
      </c>
      <c r="E43" s="68">
        <v>0</v>
      </c>
      <c r="F43" s="68">
        <v>0</v>
      </c>
    </row>
    <row r="44" spans="1:13" s="41" customFormat="1" ht="15.75" customHeight="1" thickBot="1">
      <c r="A44" s="151" t="s">
        <v>402</v>
      </c>
      <c r="B44" s="263">
        <v>20</v>
      </c>
      <c r="C44" s="83">
        <v>18</v>
      </c>
      <c r="D44" s="83">
        <v>0</v>
      </c>
      <c r="E44" s="83">
        <v>1</v>
      </c>
      <c r="F44" s="83">
        <v>1</v>
      </c>
      <c r="G44" s="42"/>
      <c r="H44" s="42"/>
      <c r="I44" s="42"/>
      <c r="J44" s="42"/>
      <c r="K44" s="42"/>
      <c r="L44" s="42"/>
      <c r="M44" s="42"/>
    </row>
    <row r="45" spans="1:13" s="41" customFormat="1" ht="15">
      <c r="A45" s="391" t="s">
        <v>635</v>
      </c>
      <c r="B45" s="391"/>
      <c r="C45" s="391"/>
      <c r="D45" s="391"/>
      <c r="E45" s="391"/>
      <c r="F45" s="391"/>
      <c r="G45" s="181"/>
      <c r="H45" s="181"/>
      <c r="I45" s="181"/>
      <c r="J45" s="181"/>
      <c r="K45" s="181"/>
      <c r="L45" s="181"/>
      <c r="M45" s="181"/>
    </row>
  </sheetData>
  <sheetProtection/>
  <mergeCells count="5">
    <mergeCell ref="A3:F3"/>
    <mergeCell ref="A2:F2"/>
    <mergeCell ref="A1:F1"/>
    <mergeCell ref="C4:F4"/>
    <mergeCell ref="A45:F45"/>
  </mergeCells>
  <printOptions/>
  <pageMargins left="0.7" right="0.7" top="0.787401575" bottom="0.7874015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="85" zoomScaleNormal="85" zoomScalePageLayoutView="0" workbookViewId="0" topLeftCell="A1">
      <selection activeCell="R40" sqref="R40"/>
    </sheetView>
  </sheetViews>
  <sheetFormatPr defaultColWidth="11.421875" defaultRowHeight="12.75"/>
  <cols>
    <col min="1" max="1" width="24.28125" style="140" customWidth="1"/>
    <col min="2" max="2" width="7.57421875" style="140" bestFit="1" customWidth="1"/>
    <col min="3" max="3" width="8.28125" style="140" bestFit="1" customWidth="1"/>
    <col min="4" max="4" width="9.421875" style="140" bestFit="1" customWidth="1"/>
    <col min="5" max="5" width="9.57421875" style="140" bestFit="1" customWidth="1"/>
    <col min="6" max="6" width="14.421875" style="140" bestFit="1" customWidth="1"/>
    <col min="7" max="7" width="9.57421875" style="140" bestFit="1" customWidth="1"/>
    <col min="8" max="8" width="10.140625" style="140" bestFit="1" customWidth="1"/>
    <col min="9" max="9" width="9.57421875" style="140" bestFit="1" customWidth="1"/>
    <col min="10" max="10" width="9.421875" style="140" bestFit="1" customWidth="1"/>
    <col min="11" max="11" width="10.57421875" style="140" bestFit="1" customWidth="1"/>
    <col min="12" max="12" width="9.7109375" style="140" bestFit="1" customWidth="1"/>
    <col min="13" max="13" width="15.7109375" style="140" bestFit="1" customWidth="1"/>
    <col min="14" max="16384" width="11.421875" style="140" customWidth="1"/>
  </cols>
  <sheetData>
    <row r="1" spans="1:13" ht="18" customHeight="1">
      <c r="A1" s="407" t="s">
        <v>416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5.75" customHeight="1">
      <c r="A2" s="416" t="s">
        <v>528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5.75" customHeight="1" thickBot="1">
      <c r="A3" s="405" t="s">
        <v>447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ht="15.75" customHeight="1">
      <c r="A4" s="88"/>
      <c r="B4" s="339" t="s">
        <v>134</v>
      </c>
      <c r="C4" s="411" t="s">
        <v>122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5.75" customHeight="1">
      <c r="A5" s="88"/>
      <c r="B5" s="351"/>
      <c r="C5" s="349" t="s">
        <v>123</v>
      </c>
      <c r="D5" s="349" t="s">
        <v>124</v>
      </c>
      <c r="E5" s="349" t="s">
        <v>125</v>
      </c>
      <c r="F5" s="349" t="s">
        <v>126</v>
      </c>
      <c r="G5" s="349" t="s">
        <v>127</v>
      </c>
      <c r="H5" s="349" t="s">
        <v>128</v>
      </c>
      <c r="I5" s="349" t="s">
        <v>129</v>
      </c>
      <c r="J5" s="349" t="s">
        <v>130</v>
      </c>
      <c r="K5" s="349" t="s">
        <v>131</v>
      </c>
      <c r="L5" s="349" t="s">
        <v>132</v>
      </c>
      <c r="M5" s="349" t="s">
        <v>133</v>
      </c>
    </row>
    <row r="6" spans="1:13" ht="15.75" customHeight="1">
      <c r="A6" s="146" t="s">
        <v>134</v>
      </c>
      <c r="B6" s="261">
        <v>2052</v>
      </c>
      <c r="C6" s="98">
        <v>258</v>
      </c>
      <c r="D6" s="98">
        <v>306</v>
      </c>
      <c r="E6" s="98">
        <v>318</v>
      </c>
      <c r="F6" s="98">
        <v>101</v>
      </c>
      <c r="G6" s="98">
        <v>284</v>
      </c>
      <c r="H6" s="98">
        <v>27</v>
      </c>
      <c r="I6" s="98">
        <v>210</v>
      </c>
      <c r="J6" s="98">
        <v>224</v>
      </c>
      <c r="K6" s="98">
        <v>118</v>
      </c>
      <c r="L6" s="98">
        <v>149</v>
      </c>
      <c r="M6" s="98">
        <v>57</v>
      </c>
    </row>
    <row r="7" spans="1:13" ht="15.75" customHeight="1">
      <c r="A7" s="146" t="s">
        <v>135</v>
      </c>
      <c r="B7" s="261">
        <v>1098</v>
      </c>
      <c r="C7" s="98">
        <v>128</v>
      </c>
      <c r="D7" s="98">
        <v>160</v>
      </c>
      <c r="E7" s="98">
        <v>182</v>
      </c>
      <c r="F7" s="98">
        <v>64</v>
      </c>
      <c r="G7" s="98">
        <v>157</v>
      </c>
      <c r="H7" s="98">
        <v>14</v>
      </c>
      <c r="I7" s="98">
        <v>114</v>
      </c>
      <c r="J7" s="98">
        <v>94</v>
      </c>
      <c r="K7" s="98">
        <v>69</v>
      </c>
      <c r="L7" s="98">
        <v>78</v>
      </c>
      <c r="M7" s="98">
        <v>38</v>
      </c>
    </row>
    <row r="8" spans="1:13" ht="15.75" customHeight="1">
      <c r="A8" s="146" t="s">
        <v>136</v>
      </c>
      <c r="B8" s="261">
        <v>451</v>
      </c>
      <c r="C8" s="98">
        <v>43</v>
      </c>
      <c r="D8" s="98">
        <v>72</v>
      </c>
      <c r="E8" s="98">
        <v>78</v>
      </c>
      <c r="F8" s="98">
        <v>23</v>
      </c>
      <c r="G8" s="98">
        <v>64</v>
      </c>
      <c r="H8" s="98">
        <v>7</v>
      </c>
      <c r="I8" s="98">
        <v>40</v>
      </c>
      <c r="J8" s="98">
        <v>52</v>
      </c>
      <c r="K8" s="98">
        <v>23</v>
      </c>
      <c r="L8" s="98">
        <v>39</v>
      </c>
      <c r="M8" s="98">
        <v>10</v>
      </c>
    </row>
    <row r="9" spans="1:13" ht="15.75" customHeight="1">
      <c r="A9" s="146" t="s">
        <v>261</v>
      </c>
      <c r="B9" s="261">
        <v>428</v>
      </c>
      <c r="C9" s="98">
        <v>69</v>
      </c>
      <c r="D9" s="98">
        <v>57</v>
      </c>
      <c r="E9" s="98">
        <v>51</v>
      </c>
      <c r="F9" s="98">
        <v>13</v>
      </c>
      <c r="G9" s="98">
        <v>56</v>
      </c>
      <c r="H9" s="98">
        <v>6</v>
      </c>
      <c r="I9" s="98">
        <v>45</v>
      </c>
      <c r="J9" s="98">
        <v>69</v>
      </c>
      <c r="K9" s="98">
        <v>25</v>
      </c>
      <c r="L9" s="98">
        <v>28</v>
      </c>
      <c r="M9" s="98">
        <v>9</v>
      </c>
    </row>
    <row r="10" spans="1:13" ht="15.75" customHeight="1">
      <c r="A10" s="140" t="s">
        <v>146</v>
      </c>
      <c r="B10" s="262">
        <v>3</v>
      </c>
      <c r="C10" s="68">
        <v>2</v>
      </c>
      <c r="D10" s="68">
        <v>0</v>
      </c>
      <c r="E10" s="68">
        <v>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</row>
    <row r="11" spans="1:13" ht="15.75" customHeight="1">
      <c r="A11" s="140" t="s">
        <v>147</v>
      </c>
      <c r="B11" s="262">
        <v>1</v>
      </c>
      <c r="C11" s="68">
        <v>0</v>
      </c>
      <c r="D11" s="68">
        <v>0</v>
      </c>
      <c r="E11" s="68">
        <v>0</v>
      </c>
      <c r="F11" s="68">
        <v>0</v>
      </c>
      <c r="G11" s="68">
        <v>1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</row>
    <row r="12" spans="1:13" ht="15.75" customHeight="1">
      <c r="A12" s="140" t="s">
        <v>148</v>
      </c>
      <c r="B12" s="262">
        <v>120</v>
      </c>
      <c r="C12" s="68">
        <v>16</v>
      </c>
      <c r="D12" s="68">
        <v>12</v>
      </c>
      <c r="E12" s="68">
        <v>11</v>
      </c>
      <c r="F12" s="68">
        <v>8</v>
      </c>
      <c r="G12" s="68">
        <v>17</v>
      </c>
      <c r="H12" s="68">
        <v>3</v>
      </c>
      <c r="I12" s="68">
        <v>12</v>
      </c>
      <c r="J12" s="68">
        <v>21</v>
      </c>
      <c r="K12" s="68">
        <v>9</v>
      </c>
      <c r="L12" s="68">
        <v>8</v>
      </c>
      <c r="M12" s="68">
        <v>3</v>
      </c>
    </row>
    <row r="13" spans="1:13" ht="15.75" customHeight="1">
      <c r="A13" s="140" t="s">
        <v>150</v>
      </c>
      <c r="B13" s="262">
        <v>6</v>
      </c>
      <c r="C13" s="68">
        <v>0</v>
      </c>
      <c r="D13" s="68">
        <v>3</v>
      </c>
      <c r="E13" s="68">
        <v>0</v>
      </c>
      <c r="F13" s="68">
        <v>0</v>
      </c>
      <c r="G13" s="68">
        <v>1</v>
      </c>
      <c r="H13" s="68">
        <v>0</v>
      </c>
      <c r="I13" s="68">
        <v>0</v>
      </c>
      <c r="J13" s="68">
        <v>1</v>
      </c>
      <c r="K13" s="68">
        <v>1</v>
      </c>
      <c r="L13" s="68">
        <v>0</v>
      </c>
      <c r="M13" s="68">
        <v>0</v>
      </c>
    </row>
    <row r="14" spans="1:13" ht="15.75" customHeight="1">
      <c r="A14" s="140" t="s">
        <v>151</v>
      </c>
      <c r="B14" s="262">
        <v>2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0</v>
      </c>
      <c r="I14" s="68">
        <v>1</v>
      </c>
      <c r="J14" s="68">
        <v>0</v>
      </c>
      <c r="K14" s="68">
        <v>0</v>
      </c>
      <c r="L14" s="68">
        <v>0</v>
      </c>
      <c r="M14" s="68">
        <v>0</v>
      </c>
    </row>
    <row r="15" spans="1:13" ht="15.75" customHeight="1">
      <c r="A15" s="140" t="s">
        <v>167</v>
      </c>
      <c r="B15" s="262">
        <v>3</v>
      </c>
      <c r="C15" s="68">
        <v>2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1</v>
      </c>
      <c r="M15" s="68">
        <v>0</v>
      </c>
    </row>
    <row r="16" spans="1:13" ht="15.75" customHeight="1">
      <c r="A16" s="140" t="s">
        <v>152</v>
      </c>
      <c r="B16" s="262">
        <v>1</v>
      </c>
      <c r="C16" s="68">
        <v>0</v>
      </c>
      <c r="D16" s="68">
        <v>1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</row>
    <row r="17" spans="1:13" ht="15.75" customHeight="1">
      <c r="A17" s="140" t="s">
        <v>153</v>
      </c>
      <c r="B17" s="262">
        <v>77</v>
      </c>
      <c r="C17" s="68">
        <v>13</v>
      </c>
      <c r="D17" s="68">
        <v>16</v>
      </c>
      <c r="E17" s="68">
        <v>26</v>
      </c>
      <c r="F17" s="68">
        <v>0</v>
      </c>
      <c r="G17" s="68">
        <v>8</v>
      </c>
      <c r="H17" s="68">
        <v>0</v>
      </c>
      <c r="I17" s="68">
        <v>5</v>
      </c>
      <c r="J17" s="68">
        <v>6</v>
      </c>
      <c r="K17" s="68">
        <v>3</v>
      </c>
      <c r="L17" s="68">
        <v>0</v>
      </c>
      <c r="M17" s="68">
        <v>0</v>
      </c>
    </row>
    <row r="18" spans="1:13" ht="15.75" customHeight="1">
      <c r="A18" s="140" t="s">
        <v>162</v>
      </c>
      <c r="B18" s="262">
        <v>6</v>
      </c>
      <c r="C18" s="68">
        <v>1</v>
      </c>
      <c r="D18" s="68">
        <v>2</v>
      </c>
      <c r="E18" s="68">
        <v>0</v>
      </c>
      <c r="F18" s="68">
        <v>0</v>
      </c>
      <c r="G18" s="68">
        <v>1</v>
      </c>
      <c r="H18" s="68">
        <v>0</v>
      </c>
      <c r="I18" s="68">
        <v>1</v>
      </c>
      <c r="J18" s="68">
        <v>1</v>
      </c>
      <c r="K18" s="68">
        <v>0</v>
      </c>
      <c r="L18" s="68">
        <v>0</v>
      </c>
      <c r="M18" s="68">
        <v>0</v>
      </c>
    </row>
    <row r="19" spans="1:13" ht="15.75" customHeight="1">
      <c r="A19" s="140" t="s">
        <v>67</v>
      </c>
      <c r="B19" s="262">
        <v>1</v>
      </c>
      <c r="C19" s="68">
        <v>0</v>
      </c>
      <c r="D19" s="68">
        <v>0</v>
      </c>
      <c r="E19" s="68">
        <v>0</v>
      </c>
      <c r="F19" s="68">
        <v>1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</row>
    <row r="20" spans="1:13" ht="15.75" customHeight="1">
      <c r="A20" s="140" t="s">
        <v>155</v>
      </c>
      <c r="B20" s="262">
        <v>5</v>
      </c>
      <c r="C20" s="68">
        <v>1</v>
      </c>
      <c r="D20" s="68">
        <v>1</v>
      </c>
      <c r="E20" s="68">
        <v>0</v>
      </c>
      <c r="F20" s="68">
        <v>0</v>
      </c>
      <c r="G20" s="68">
        <v>2</v>
      </c>
      <c r="H20" s="68">
        <v>0</v>
      </c>
      <c r="I20" s="68">
        <v>0</v>
      </c>
      <c r="J20" s="68">
        <v>1</v>
      </c>
      <c r="K20" s="68">
        <v>0</v>
      </c>
      <c r="L20" s="68">
        <v>0</v>
      </c>
      <c r="M20" s="68">
        <v>0</v>
      </c>
    </row>
    <row r="21" spans="1:13" ht="15.75" customHeight="1">
      <c r="A21" s="140" t="s">
        <v>156</v>
      </c>
      <c r="B21" s="262">
        <v>1</v>
      </c>
      <c r="C21" s="68">
        <v>0</v>
      </c>
      <c r="D21" s="68">
        <v>0</v>
      </c>
      <c r="E21" s="68">
        <v>1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  <row r="22" spans="1:13" ht="15.75" customHeight="1">
      <c r="A22" s="140" t="s">
        <v>157</v>
      </c>
      <c r="B22" s="262">
        <v>152</v>
      </c>
      <c r="C22" s="68">
        <v>24</v>
      </c>
      <c r="D22" s="68">
        <v>12</v>
      </c>
      <c r="E22" s="68">
        <v>5</v>
      </c>
      <c r="F22" s="68">
        <v>4</v>
      </c>
      <c r="G22" s="68">
        <v>14</v>
      </c>
      <c r="H22" s="68">
        <v>3</v>
      </c>
      <c r="I22" s="68">
        <v>24</v>
      </c>
      <c r="J22" s="68">
        <v>34</v>
      </c>
      <c r="K22" s="68">
        <v>7</v>
      </c>
      <c r="L22" s="68">
        <v>19</v>
      </c>
      <c r="M22" s="68">
        <v>6</v>
      </c>
    </row>
    <row r="23" spans="1:13" ht="15.75" customHeight="1">
      <c r="A23" s="140" t="s">
        <v>186</v>
      </c>
      <c r="B23" s="262">
        <v>2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1</v>
      </c>
      <c r="J23" s="68">
        <v>1</v>
      </c>
      <c r="K23" s="68">
        <v>0</v>
      </c>
      <c r="L23" s="68">
        <v>0</v>
      </c>
      <c r="M23" s="68">
        <v>0</v>
      </c>
    </row>
    <row r="24" spans="1:13" ht="15.75" customHeight="1">
      <c r="A24" s="140" t="s">
        <v>158</v>
      </c>
      <c r="B24" s="262">
        <v>27</v>
      </c>
      <c r="C24" s="68">
        <v>5</v>
      </c>
      <c r="D24" s="68">
        <v>9</v>
      </c>
      <c r="E24" s="68">
        <v>5</v>
      </c>
      <c r="F24" s="68">
        <v>0</v>
      </c>
      <c r="G24" s="68">
        <v>5</v>
      </c>
      <c r="H24" s="68">
        <v>0</v>
      </c>
      <c r="I24" s="68">
        <v>1</v>
      </c>
      <c r="J24" s="68">
        <v>0</v>
      </c>
      <c r="K24" s="68">
        <v>2</v>
      </c>
      <c r="L24" s="68">
        <v>0</v>
      </c>
      <c r="M24" s="68">
        <v>0</v>
      </c>
    </row>
    <row r="25" spans="1:13" ht="15.75" customHeight="1">
      <c r="A25" s="140" t="s">
        <v>159</v>
      </c>
      <c r="B25" s="262">
        <v>2</v>
      </c>
      <c r="C25" s="68">
        <v>2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</row>
    <row r="26" spans="1:13" ht="15.75" customHeight="1">
      <c r="A26" s="140" t="s">
        <v>247</v>
      </c>
      <c r="B26" s="262">
        <v>2</v>
      </c>
      <c r="C26" s="68">
        <v>0</v>
      </c>
      <c r="D26" s="68">
        <v>0</v>
      </c>
      <c r="E26" s="68">
        <v>1</v>
      </c>
      <c r="F26" s="68">
        <v>0</v>
      </c>
      <c r="G26" s="68">
        <v>0</v>
      </c>
      <c r="H26" s="68">
        <v>0</v>
      </c>
      <c r="I26" s="68">
        <v>0</v>
      </c>
      <c r="J26" s="68">
        <v>1</v>
      </c>
      <c r="K26" s="68">
        <v>0</v>
      </c>
      <c r="L26" s="68">
        <v>0</v>
      </c>
      <c r="M26" s="68">
        <v>0</v>
      </c>
    </row>
    <row r="27" spans="1:13" ht="15.75" customHeight="1">
      <c r="A27" s="140" t="s">
        <v>164</v>
      </c>
      <c r="B27" s="262">
        <v>2</v>
      </c>
      <c r="C27" s="68">
        <v>1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1</v>
      </c>
      <c r="L27" s="68">
        <v>0</v>
      </c>
      <c r="M27" s="68">
        <v>0</v>
      </c>
    </row>
    <row r="28" spans="1:13" ht="15.75" customHeight="1">
      <c r="A28" s="140" t="s">
        <v>160</v>
      </c>
      <c r="B28" s="262">
        <v>13</v>
      </c>
      <c r="C28" s="68">
        <v>2</v>
      </c>
      <c r="D28" s="68">
        <v>1</v>
      </c>
      <c r="E28" s="68">
        <v>1</v>
      </c>
      <c r="F28" s="68">
        <v>0</v>
      </c>
      <c r="G28" s="68">
        <v>6</v>
      </c>
      <c r="H28" s="68">
        <v>0</v>
      </c>
      <c r="I28" s="68">
        <v>0</v>
      </c>
      <c r="J28" s="68">
        <v>1</v>
      </c>
      <c r="K28" s="68">
        <v>2</v>
      </c>
      <c r="L28" s="68">
        <v>0</v>
      </c>
      <c r="M28" s="68">
        <v>0</v>
      </c>
    </row>
    <row r="29" spans="1:13" ht="15.75" customHeight="1">
      <c r="A29" s="140" t="s">
        <v>193</v>
      </c>
      <c r="B29" s="262">
        <v>2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2</v>
      </c>
      <c r="K29" s="68">
        <v>0</v>
      </c>
      <c r="L29" s="68">
        <v>0</v>
      </c>
      <c r="M29" s="68">
        <v>0</v>
      </c>
    </row>
    <row r="30" spans="1:13" ht="15.75" customHeight="1">
      <c r="A30" s="146" t="s">
        <v>276</v>
      </c>
      <c r="B30" s="261">
        <v>52</v>
      </c>
      <c r="C30" s="98">
        <v>12</v>
      </c>
      <c r="D30" s="98">
        <v>16</v>
      </c>
      <c r="E30" s="98">
        <v>5</v>
      </c>
      <c r="F30" s="98">
        <v>0</v>
      </c>
      <c r="G30" s="98">
        <v>4</v>
      </c>
      <c r="H30" s="98">
        <v>0</v>
      </c>
      <c r="I30" s="98">
        <v>6</v>
      </c>
      <c r="J30" s="98">
        <v>8</v>
      </c>
      <c r="K30" s="98">
        <v>0</v>
      </c>
      <c r="L30" s="98">
        <v>1</v>
      </c>
      <c r="M30" s="98">
        <v>0</v>
      </c>
    </row>
    <row r="31" spans="1:13" ht="15.75" customHeight="1">
      <c r="A31" s="140" t="s">
        <v>161</v>
      </c>
      <c r="B31" s="262">
        <v>13</v>
      </c>
      <c r="C31" s="68">
        <v>3</v>
      </c>
      <c r="D31" s="68">
        <v>2</v>
      </c>
      <c r="E31" s="68">
        <v>2</v>
      </c>
      <c r="F31" s="68">
        <v>0</v>
      </c>
      <c r="G31" s="68">
        <v>1</v>
      </c>
      <c r="H31" s="68">
        <v>0</v>
      </c>
      <c r="I31" s="68">
        <v>3</v>
      </c>
      <c r="J31" s="68">
        <v>2</v>
      </c>
      <c r="K31" s="68">
        <v>0</v>
      </c>
      <c r="L31" s="68">
        <v>0</v>
      </c>
      <c r="M31" s="68">
        <v>0</v>
      </c>
    </row>
    <row r="32" spans="1:13" ht="15.75" customHeight="1">
      <c r="A32" s="140" t="s">
        <v>240</v>
      </c>
      <c r="B32" s="262">
        <v>11</v>
      </c>
      <c r="C32" s="68">
        <v>5</v>
      </c>
      <c r="D32" s="68">
        <v>3</v>
      </c>
      <c r="E32" s="68">
        <v>2</v>
      </c>
      <c r="F32" s="68">
        <v>0</v>
      </c>
      <c r="G32" s="68">
        <v>0</v>
      </c>
      <c r="H32" s="68">
        <v>0</v>
      </c>
      <c r="I32" s="68">
        <v>0</v>
      </c>
      <c r="J32" s="68">
        <v>1</v>
      </c>
      <c r="K32" s="68">
        <v>0</v>
      </c>
      <c r="L32" s="68">
        <v>0</v>
      </c>
      <c r="M32" s="68">
        <v>0</v>
      </c>
    </row>
    <row r="33" spans="1:13" ht="15.75" customHeight="1">
      <c r="A33" s="140" t="s">
        <v>163</v>
      </c>
      <c r="B33" s="262">
        <v>3</v>
      </c>
      <c r="C33" s="68">
        <v>0</v>
      </c>
      <c r="D33" s="68">
        <v>1</v>
      </c>
      <c r="E33" s="68">
        <v>0</v>
      </c>
      <c r="F33" s="68">
        <v>0</v>
      </c>
      <c r="G33" s="68">
        <v>1</v>
      </c>
      <c r="H33" s="68">
        <v>0</v>
      </c>
      <c r="I33" s="68">
        <v>0</v>
      </c>
      <c r="J33" s="68">
        <v>1</v>
      </c>
      <c r="K33" s="68">
        <v>0</v>
      </c>
      <c r="L33" s="68">
        <v>0</v>
      </c>
      <c r="M33" s="68">
        <v>0</v>
      </c>
    </row>
    <row r="34" spans="1:13" ht="15.75" customHeight="1">
      <c r="A34" s="140" t="s">
        <v>187</v>
      </c>
      <c r="B34" s="262">
        <v>6</v>
      </c>
      <c r="C34" s="68">
        <v>1</v>
      </c>
      <c r="D34" s="68">
        <v>2</v>
      </c>
      <c r="E34" s="68">
        <v>0</v>
      </c>
      <c r="F34" s="68">
        <v>0</v>
      </c>
      <c r="G34" s="68">
        <v>2</v>
      </c>
      <c r="H34" s="68">
        <v>0</v>
      </c>
      <c r="I34" s="68">
        <v>1</v>
      </c>
      <c r="J34" s="68">
        <v>0</v>
      </c>
      <c r="K34" s="68">
        <v>0</v>
      </c>
      <c r="L34" s="68">
        <v>0</v>
      </c>
      <c r="M34" s="68">
        <v>0</v>
      </c>
    </row>
    <row r="35" spans="1:13" ht="15.75" customHeight="1">
      <c r="A35" s="140" t="s">
        <v>245</v>
      </c>
      <c r="B35" s="262">
        <v>6</v>
      </c>
      <c r="C35" s="68">
        <v>3</v>
      </c>
      <c r="D35" s="68">
        <v>2</v>
      </c>
      <c r="E35" s="68">
        <v>1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</row>
    <row r="36" spans="1:13" ht="15.75" customHeight="1">
      <c r="A36" s="140" t="s">
        <v>165</v>
      </c>
      <c r="B36" s="262">
        <v>13</v>
      </c>
      <c r="C36" s="68">
        <v>0</v>
      </c>
      <c r="D36" s="68">
        <v>6</v>
      </c>
      <c r="E36" s="68">
        <v>0</v>
      </c>
      <c r="F36" s="68">
        <v>0</v>
      </c>
      <c r="G36" s="68">
        <v>0</v>
      </c>
      <c r="H36" s="68">
        <v>0</v>
      </c>
      <c r="I36" s="68">
        <v>2</v>
      </c>
      <c r="J36" s="68">
        <v>4</v>
      </c>
      <c r="K36" s="68">
        <v>0</v>
      </c>
      <c r="L36" s="68">
        <v>1</v>
      </c>
      <c r="M36" s="68">
        <v>0</v>
      </c>
    </row>
    <row r="37" spans="1:13" ht="15.75" customHeight="1">
      <c r="A37" s="146" t="s">
        <v>277</v>
      </c>
      <c r="B37" s="261">
        <v>4</v>
      </c>
      <c r="C37" s="98">
        <v>0</v>
      </c>
      <c r="D37" s="98">
        <v>1</v>
      </c>
      <c r="E37" s="98">
        <v>0</v>
      </c>
      <c r="F37" s="98">
        <v>0</v>
      </c>
      <c r="G37" s="98">
        <v>1</v>
      </c>
      <c r="H37" s="98">
        <v>0</v>
      </c>
      <c r="I37" s="98">
        <v>2</v>
      </c>
      <c r="J37" s="98">
        <v>0</v>
      </c>
      <c r="K37" s="98">
        <v>0</v>
      </c>
      <c r="L37" s="98">
        <v>0</v>
      </c>
      <c r="M37" s="98">
        <v>0</v>
      </c>
    </row>
    <row r="38" spans="1:13" ht="15.75" customHeight="1">
      <c r="A38" s="140" t="s">
        <v>168</v>
      </c>
      <c r="B38" s="262">
        <v>2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2</v>
      </c>
      <c r="J38" s="68">
        <v>0</v>
      </c>
      <c r="K38" s="68">
        <v>0</v>
      </c>
      <c r="L38" s="68">
        <v>0</v>
      </c>
      <c r="M38" s="68">
        <v>0</v>
      </c>
    </row>
    <row r="39" spans="1:13" ht="15.75" customHeight="1">
      <c r="A39" s="140" t="s">
        <v>189</v>
      </c>
      <c r="B39" s="262">
        <v>1</v>
      </c>
      <c r="C39" s="68">
        <v>0</v>
      </c>
      <c r="D39" s="68">
        <v>0</v>
      </c>
      <c r="E39" s="68">
        <v>0</v>
      </c>
      <c r="F39" s="68">
        <v>0</v>
      </c>
      <c r="G39" s="68">
        <v>1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</row>
    <row r="40" spans="1:13" ht="15.75" customHeight="1">
      <c r="A40" s="140" t="s">
        <v>191</v>
      </c>
      <c r="B40" s="262">
        <v>1</v>
      </c>
      <c r="C40" s="68">
        <v>0</v>
      </c>
      <c r="D40" s="68">
        <v>1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</row>
    <row r="41" spans="1:13" ht="15.75" customHeight="1">
      <c r="A41" s="146" t="s">
        <v>278</v>
      </c>
      <c r="B41" s="261">
        <v>12</v>
      </c>
      <c r="C41" s="98">
        <v>5</v>
      </c>
      <c r="D41" s="98">
        <v>0</v>
      </c>
      <c r="E41" s="98">
        <v>0</v>
      </c>
      <c r="F41" s="98">
        <v>1</v>
      </c>
      <c r="G41" s="98">
        <v>1</v>
      </c>
      <c r="H41" s="98">
        <v>0</v>
      </c>
      <c r="I41" s="98">
        <v>3</v>
      </c>
      <c r="J41" s="98">
        <v>0</v>
      </c>
      <c r="K41" s="98">
        <v>0</v>
      </c>
      <c r="L41" s="98">
        <v>2</v>
      </c>
      <c r="M41" s="98">
        <v>0</v>
      </c>
    </row>
    <row r="42" spans="1:13" ht="15.75" customHeight="1">
      <c r="A42" s="140" t="s">
        <v>172</v>
      </c>
      <c r="B42" s="262">
        <v>5</v>
      </c>
      <c r="C42" s="68">
        <v>2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1</v>
      </c>
      <c r="J42" s="68">
        <v>0</v>
      </c>
      <c r="K42" s="68">
        <v>0</v>
      </c>
      <c r="L42" s="68">
        <v>2</v>
      </c>
      <c r="M42" s="68">
        <v>0</v>
      </c>
    </row>
    <row r="43" spans="1:13" ht="15.75" customHeight="1">
      <c r="A43" s="140" t="s">
        <v>237</v>
      </c>
      <c r="B43" s="262">
        <v>3</v>
      </c>
      <c r="C43" s="68">
        <v>3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</row>
    <row r="44" spans="1:13" ht="15.75" customHeight="1">
      <c r="A44" s="140" t="s">
        <v>322</v>
      </c>
      <c r="B44" s="262">
        <v>1</v>
      </c>
      <c r="C44" s="68">
        <v>0</v>
      </c>
      <c r="D44" s="68">
        <v>0</v>
      </c>
      <c r="E44" s="68">
        <v>0</v>
      </c>
      <c r="F44" s="68">
        <v>1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</row>
    <row r="45" spans="1:13" ht="15.75" customHeight="1">
      <c r="A45" s="140" t="s">
        <v>194</v>
      </c>
      <c r="B45" s="262">
        <v>3</v>
      </c>
      <c r="C45" s="68">
        <v>0</v>
      </c>
      <c r="D45" s="68">
        <v>0</v>
      </c>
      <c r="E45" s="68">
        <v>0</v>
      </c>
      <c r="F45" s="68">
        <v>0</v>
      </c>
      <c r="G45" s="68">
        <v>1</v>
      </c>
      <c r="H45" s="68">
        <v>0</v>
      </c>
      <c r="I45" s="68">
        <v>2</v>
      </c>
      <c r="J45" s="68">
        <v>0</v>
      </c>
      <c r="K45" s="68">
        <v>0</v>
      </c>
      <c r="L45" s="68">
        <v>0</v>
      </c>
      <c r="M45" s="68">
        <v>0</v>
      </c>
    </row>
    <row r="46" spans="1:13" ht="15.75" customHeight="1">
      <c r="A46" s="146" t="s">
        <v>279</v>
      </c>
      <c r="B46" s="261">
        <v>6</v>
      </c>
      <c r="C46" s="98">
        <v>0</v>
      </c>
      <c r="D46" s="98">
        <v>0</v>
      </c>
      <c r="E46" s="98">
        <v>2</v>
      </c>
      <c r="F46" s="98">
        <v>0</v>
      </c>
      <c r="G46" s="98">
        <v>1</v>
      </c>
      <c r="H46" s="98">
        <v>0</v>
      </c>
      <c r="I46" s="98">
        <v>0</v>
      </c>
      <c r="J46" s="98">
        <v>1</v>
      </c>
      <c r="K46" s="98">
        <v>1</v>
      </c>
      <c r="L46" s="98">
        <v>1</v>
      </c>
      <c r="M46" s="98">
        <v>0</v>
      </c>
    </row>
    <row r="47" spans="1:13" ht="15.75" customHeight="1">
      <c r="A47" s="140" t="s">
        <v>31</v>
      </c>
      <c r="B47" s="262">
        <v>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1</v>
      </c>
      <c r="K47" s="68">
        <v>0</v>
      </c>
      <c r="L47" s="68">
        <v>0</v>
      </c>
      <c r="M47" s="68">
        <v>0</v>
      </c>
    </row>
    <row r="48" spans="1:13" ht="15.75" customHeight="1">
      <c r="A48" s="140" t="s">
        <v>281</v>
      </c>
      <c r="B48" s="262">
        <v>1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1</v>
      </c>
      <c r="M48" s="68">
        <v>0</v>
      </c>
    </row>
    <row r="49" spans="1:13" ht="15.75" customHeight="1">
      <c r="A49" s="140" t="s">
        <v>327</v>
      </c>
      <c r="B49" s="262">
        <v>1</v>
      </c>
      <c r="C49" s="68">
        <v>0</v>
      </c>
      <c r="D49" s="68">
        <v>0</v>
      </c>
      <c r="E49" s="68">
        <v>1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</row>
    <row r="50" spans="1:13" ht="15.75" customHeight="1">
      <c r="A50" s="140" t="s">
        <v>190</v>
      </c>
      <c r="B50" s="262">
        <v>3</v>
      </c>
      <c r="C50" s="68">
        <v>0</v>
      </c>
      <c r="D50" s="68">
        <v>0</v>
      </c>
      <c r="E50" s="68">
        <v>1</v>
      </c>
      <c r="F50" s="68">
        <v>0</v>
      </c>
      <c r="G50" s="68">
        <v>1</v>
      </c>
      <c r="H50" s="68">
        <v>0</v>
      </c>
      <c r="I50" s="68">
        <v>0</v>
      </c>
      <c r="J50" s="68">
        <v>0</v>
      </c>
      <c r="K50" s="68">
        <v>1</v>
      </c>
      <c r="L50" s="68">
        <v>0</v>
      </c>
      <c r="M50" s="68">
        <v>0</v>
      </c>
    </row>
    <row r="51" spans="1:13" ht="15.75" customHeight="1">
      <c r="A51" s="140" t="s">
        <v>280</v>
      </c>
      <c r="B51" s="262">
        <v>1</v>
      </c>
      <c r="C51" s="68">
        <v>1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</row>
    <row r="52" spans="1:13" ht="15.75" customHeight="1" thickBot="1">
      <c r="A52" s="147" t="s">
        <v>171</v>
      </c>
      <c r="B52" s="263">
        <v>1</v>
      </c>
      <c r="C52" s="83">
        <v>1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</row>
    <row r="53" spans="1:13" ht="15.75" customHeight="1">
      <c r="A53" s="391" t="s">
        <v>635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</row>
  </sheetData>
  <sheetProtection/>
  <mergeCells count="5">
    <mergeCell ref="A1:M1"/>
    <mergeCell ref="A2:M2"/>
    <mergeCell ref="A3:M3"/>
    <mergeCell ref="C4:M4"/>
    <mergeCell ref="A53:M5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97"/>
  <sheetViews>
    <sheetView zoomScale="85" zoomScaleNormal="85" zoomScalePageLayoutView="0" workbookViewId="0" topLeftCell="A1">
      <selection activeCell="R15" sqref="R15"/>
    </sheetView>
  </sheetViews>
  <sheetFormatPr defaultColWidth="11.421875" defaultRowHeight="12.75"/>
  <cols>
    <col min="1" max="1" width="31.421875" style="2" bestFit="1" customWidth="1"/>
    <col min="2" max="2" width="9.28125" style="2" bestFit="1" customWidth="1"/>
    <col min="3" max="3" width="7.8515625" style="2" bestFit="1" customWidth="1"/>
    <col min="4" max="4" width="9.28125" style="2" bestFit="1" customWidth="1"/>
    <col min="5" max="5" width="8.8515625" style="2" bestFit="1" customWidth="1"/>
    <col min="6" max="6" width="14.140625" style="2" bestFit="1" customWidth="1"/>
    <col min="7" max="7" width="9.28125" style="2" bestFit="1" customWidth="1"/>
    <col min="8" max="8" width="9.7109375" style="2" bestFit="1" customWidth="1"/>
    <col min="9" max="9" width="9.00390625" style="2" bestFit="1" customWidth="1"/>
    <col min="10" max="10" width="9.28125" style="2" bestFit="1" customWidth="1"/>
    <col min="11" max="11" width="10.28125" style="2" bestFit="1" customWidth="1"/>
    <col min="12" max="12" width="9.28125" style="2" bestFit="1" customWidth="1"/>
    <col min="13" max="13" width="15.140625" style="2" bestFit="1" customWidth="1"/>
    <col min="14" max="16384" width="11.421875" style="2" customWidth="1"/>
  </cols>
  <sheetData>
    <row r="1" spans="1:13" ht="18" customHeight="1">
      <c r="A1" s="393" t="s">
        <v>260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5.75" customHeight="1">
      <c r="A2" s="394" t="s">
        <v>528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5" s="25" customFormat="1" ht="15.75" thickBot="1">
      <c r="A3" s="395" t="s">
        <v>451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O3" s="61"/>
    </row>
    <row r="4" spans="1:13" s="25" customFormat="1" ht="15.75">
      <c r="A4" s="114"/>
      <c r="B4" s="328" t="s">
        <v>134</v>
      </c>
      <c r="C4" s="396" t="s">
        <v>122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s="25" customFormat="1" ht="15.75">
      <c r="A5" s="114"/>
      <c r="B5" s="65"/>
      <c r="C5" s="258" t="s">
        <v>123</v>
      </c>
      <c r="D5" s="258" t="s">
        <v>124</v>
      </c>
      <c r="E5" s="258" t="s">
        <v>125</v>
      </c>
      <c r="F5" s="258" t="s">
        <v>126</v>
      </c>
      <c r="G5" s="258" t="s">
        <v>127</v>
      </c>
      <c r="H5" s="258" t="s">
        <v>128</v>
      </c>
      <c r="I5" s="258" t="s">
        <v>129</v>
      </c>
      <c r="J5" s="258" t="s">
        <v>130</v>
      </c>
      <c r="K5" s="258" t="s">
        <v>131</v>
      </c>
      <c r="L5" s="258" t="s">
        <v>132</v>
      </c>
      <c r="M5" s="258" t="s">
        <v>133</v>
      </c>
    </row>
    <row r="6" spans="1:13" s="25" customFormat="1" ht="15.75" customHeight="1">
      <c r="A6" s="113" t="s">
        <v>134</v>
      </c>
      <c r="B6" s="261">
        <v>38747</v>
      </c>
      <c r="C6" s="98">
        <v>5696</v>
      </c>
      <c r="D6" s="98">
        <v>5277</v>
      </c>
      <c r="E6" s="98">
        <v>4642</v>
      </c>
      <c r="F6" s="98">
        <v>2638</v>
      </c>
      <c r="G6" s="98">
        <v>6038</v>
      </c>
      <c r="H6" s="98">
        <v>473</v>
      </c>
      <c r="I6" s="98">
        <v>4465</v>
      </c>
      <c r="J6" s="98">
        <v>4399</v>
      </c>
      <c r="K6" s="98">
        <v>1690</v>
      </c>
      <c r="L6" s="98">
        <v>2322</v>
      </c>
      <c r="M6" s="98">
        <v>1107</v>
      </c>
    </row>
    <row r="7" spans="1:13" s="25" customFormat="1" ht="15.75" customHeight="1">
      <c r="A7" s="111" t="s">
        <v>22</v>
      </c>
      <c r="B7" s="262">
        <v>19532</v>
      </c>
      <c r="C7" s="68">
        <v>2894</v>
      </c>
      <c r="D7" s="68">
        <v>2683</v>
      </c>
      <c r="E7" s="68">
        <v>2327</v>
      </c>
      <c r="F7" s="68">
        <v>1297</v>
      </c>
      <c r="G7" s="68">
        <v>3084</v>
      </c>
      <c r="H7" s="68">
        <v>240</v>
      </c>
      <c r="I7" s="68">
        <v>2243</v>
      </c>
      <c r="J7" s="68">
        <v>2204</v>
      </c>
      <c r="K7" s="68">
        <v>816</v>
      </c>
      <c r="L7" s="68">
        <v>1176</v>
      </c>
      <c r="M7" s="68">
        <v>568</v>
      </c>
    </row>
    <row r="8" spans="1:13" s="25" customFormat="1" ht="15.75" customHeight="1">
      <c r="A8" s="111" t="s">
        <v>21</v>
      </c>
      <c r="B8" s="262">
        <v>19215</v>
      </c>
      <c r="C8" s="68">
        <v>2802</v>
      </c>
      <c r="D8" s="68">
        <v>2594</v>
      </c>
      <c r="E8" s="68">
        <v>2315</v>
      </c>
      <c r="F8" s="68">
        <v>1341</v>
      </c>
      <c r="G8" s="68">
        <v>2954</v>
      </c>
      <c r="H8" s="68">
        <v>233</v>
      </c>
      <c r="I8" s="68">
        <v>2222</v>
      </c>
      <c r="J8" s="68">
        <v>2195</v>
      </c>
      <c r="K8" s="68">
        <v>874</v>
      </c>
      <c r="L8" s="68">
        <v>1146</v>
      </c>
      <c r="M8" s="68">
        <v>539</v>
      </c>
    </row>
    <row r="9" spans="1:13" s="25" customFormat="1" ht="15.75" customHeight="1">
      <c r="A9" s="113" t="s">
        <v>74</v>
      </c>
      <c r="B9" s="261">
        <v>25485</v>
      </c>
      <c r="C9" s="98">
        <v>3264</v>
      </c>
      <c r="D9" s="98">
        <v>3323</v>
      </c>
      <c r="E9" s="98">
        <v>3393</v>
      </c>
      <c r="F9" s="98">
        <v>2077</v>
      </c>
      <c r="G9" s="98">
        <v>3750</v>
      </c>
      <c r="H9" s="98">
        <v>351</v>
      </c>
      <c r="I9" s="98">
        <v>2928</v>
      </c>
      <c r="J9" s="98">
        <v>2677</v>
      </c>
      <c r="K9" s="98">
        <v>1162</v>
      </c>
      <c r="L9" s="98">
        <v>1721</v>
      </c>
      <c r="M9" s="98">
        <v>839</v>
      </c>
    </row>
    <row r="10" spans="1:13" s="25" customFormat="1" ht="15.75" customHeight="1">
      <c r="A10" s="111" t="s">
        <v>22</v>
      </c>
      <c r="B10" s="262">
        <v>12905</v>
      </c>
      <c r="C10" s="68">
        <v>1642</v>
      </c>
      <c r="D10" s="68">
        <v>1709</v>
      </c>
      <c r="E10" s="68">
        <v>1734</v>
      </c>
      <c r="F10" s="68">
        <v>1040</v>
      </c>
      <c r="G10" s="68">
        <v>1934</v>
      </c>
      <c r="H10" s="68">
        <v>179</v>
      </c>
      <c r="I10" s="68">
        <v>1457</v>
      </c>
      <c r="J10" s="68">
        <v>1362</v>
      </c>
      <c r="K10" s="68">
        <v>561</v>
      </c>
      <c r="L10" s="68">
        <v>872</v>
      </c>
      <c r="M10" s="68">
        <v>415</v>
      </c>
    </row>
    <row r="11" spans="1:13" s="25" customFormat="1" ht="15.75" customHeight="1">
      <c r="A11" s="111" t="s">
        <v>21</v>
      </c>
      <c r="B11" s="262">
        <v>12580</v>
      </c>
      <c r="C11" s="68">
        <v>1622</v>
      </c>
      <c r="D11" s="68">
        <v>1614</v>
      </c>
      <c r="E11" s="68">
        <v>1659</v>
      </c>
      <c r="F11" s="68">
        <v>1037</v>
      </c>
      <c r="G11" s="68">
        <v>1816</v>
      </c>
      <c r="H11" s="68">
        <v>172</v>
      </c>
      <c r="I11" s="68">
        <v>1471</v>
      </c>
      <c r="J11" s="68">
        <v>1315</v>
      </c>
      <c r="K11" s="68">
        <v>601</v>
      </c>
      <c r="L11" s="68">
        <v>849</v>
      </c>
      <c r="M11" s="68">
        <v>424</v>
      </c>
    </row>
    <row r="12" spans="1:13" s="25" customFormat="1" ht="15.75" customHeight="1">
      <c r="A12" s="113" t="s">
        <v>79</v>
      </c>
      <c r="B12" s="261">
        <v>2917</v>
      </c>
      <c r="C12" s="98">
        <v>646</v>
      </c>
      <c r="D12" s="98">
        <v>462</v>
      </c>
      <c r="E12" s="98">
        <v>252</v>
      </c>
      <c r="F12" s="98">
        <v>94</v>
      </c>
      <c r="G12" s="98">
        <v>397</v>
      </c>
      <c r="H12" s="98">
        <v>24</v>
      </c>
      <c r="I12" s="98">
        <v>395</v>
      </c>
      <c r="J12" s="98">
        <v>364</v>
      </c>
      <c r="K12" s="98">
        <v>123</v>
      </c>
      <c r="L12" s="98">
        <v>110</v>
      </c>
      <c r="M12" s="98">
        <v>50</v>
      </c>
    </row>
    <row r="13" spans="1:13" s="25" customFormat="1" ht="15.75" customHeight="1">
      <c r="A13" s="111" t="s">
        <v>136</v>
      </c>
      <c r="B13" s="262">
        <v>1743</v>
      </c>
      <c r="C13" s="68">
        <v>347</v>
      </c>
      <c r="D13" s="68">
        <v>284</v>
      </c>
      <c r="E13" s="68">
        <v>171</v>
      </c>
      <c r="F13" s="68">
        <v>83</v>
      </c>
      <c r="G13" s="68">
        <v>268</v>
      </c>
      <c r="H13" s="68">
        <v>22</v>
      </c>
      <c r="I13" s="68">
        <v>158</v>
      </c>
      <c r="J13" s="68">
        <v>206</v>
      </c>
      <c r="K13" s="68">
        <v>69</v>
      </c>
      <c r="L13" s="68">
        <v>98</v>
      </c>
      <c r="M13" s="68">
        <v>37</v>
      </c>
    </row>
    <row r="14" spans="1:13" s="25" customFormat="1" ht="15.75" customHeight="1">
      <c r="A14" s="111" t="s">
        <v>22</v>
      </c>
      <c r="B14" s="262">
        <v>900</v>
      </c>
      <c r="C14" s="68">
        <v>190</v>
      </c>
      <c r="D14" s="68">
        <v>159</v>
      </c>
      <c r="E14" s="68">
        <v>89</v>
      </c>
      <c r="F14" s="68">
        <v>34</v>
      </c>
      <c r="G14" s="68">
        <v>135</v>
      </c>
      <c r="H14" s="68">
        <v>10</v>
      </c>
      <c r="I14" s="68">
        <v>77</v>
      </c>
      <c r="J14" s="68">
        <v>102</v>
      </c>
      <c r="K14" s="68">
        <v>31</v>
      </c>
      <c r="L14" s="68">
        <v>53</v>
      </c>
      <c r="M14" s="68">
        <v>20</v>
      </c>
    </row>
    <row r="15" spans="1:13" s="25" customFormat="1" ht="15.75" customHeight="1">
      <c r="A15" s="111" t="s">
        <v>21</v>
      </c>
      <c r="B15" s="262">
        <v>843</v>
      </c>
      <c r="C15" s="68">
        <v>157</v>
      </c>
      <c r="D15" s="68">
        <v>125</v>
      </c>
      <c r="E15" s="68">
        <v>82</v>
      </c>
      <c r="F15" s="68">
        <v>49</v>
      </c>
      <c r="G15" s="68">
        <v>133</v>
      </c>
      <c r="H15" s="68">
        <v>12</v>
      </c>
      <c r="I15" s="68">
        <v>81</v>
      </c>
      <c r="J15" s="68">
        <v>104</v>
      </c>
      <c r="K15" s="68">
        <v>38</v>
      </c>
      <c r="L15" s="68">
        <v>45</v>
      </c>
      <c r="M15" s="68">
        <v>17</v>
      </c>
    </row>
    <row r="16" spans="1:13" s="25" customFormat="1" ht="15.75" customHeight="1">
      <c r="A16" s="111" t="s">
        <v>261</v>
      </c>
      <c r="B16" s="262">
        <v>30</v>
      </c>
      <c r="C16" s="68">
        <v>10</v>
      </c>
      <c r="D16" s="68">
        <v>4</v>
      </c>
      <c r="E16" s="68">
        <v>3</v>
      </c>
      <c r="F16" s="68">
        <v>1</v>
      </c>
      <c r="G16" s="68">
        <v>4</v>
      </c>
      <c r="H16" s="68">
        <v>0</v>
      </c>
      <c r="I16" s="68">
        <v>1</v>
      </c>
      <c r="J16" s="68">
        <v>3</v>
      </c>
      <c r="K16" s="68">
        <v>2</v>
      </c>
      <c r="L16" s="68">
        <v>2</v>
      </c>
      <c r="M16" s="68">
        <v>0</v>
      </c>
    </row>
    <row r="17" spans="1:13" s="25" customFormat="1" ht="15.75" customHeight="1">
      <c r="A17" s="111" t="s">
        <v>22</v>
      </c>
      <c r="B17" s="262">
        <v>21</v>
      </c>
      <c r="C17" s="68">
        <v>7</v>
      </c>
      <c r="D17" s="68">
        <v>3</v>
      </c>
      <c r="E17" s="68">
        <v>2</v>
      </c>
      <c r="F17" s="68">
        <v>1</v>
      </c>
      <c r="G17" s="68">
        <v>3</v>
      </c>
      <c r="H17" s="68">
        <v>0</v>
      </c>
      <c r="I17" s="68">
        <v>0</v>
      </c>
      <c r="J17" s="68">
        <v>3</v>
      </c>
      <c r="K17" s="68">
        <v>2</v>
      </c>
      <c r="L17" s="68">
        <v>0</v>
      </c>
      <c r="M17" s="68">
        <v>0</v>
      </c>
    </row>
    <row r="18" spans="1:13" s="25" customFormat="1" ht="15.75" customHeight="1">
      <c r="A18" s="111" t="s">
        <v>21</v>
      </c>
      <c r="B18" s="262">
        <v>9</v>
      </c>
      <c r="C18" s="68">
        <v>3</v>
      </c>
      <c r="D18" s="68">
        <v>1</v>
      </c>
      <c r="E18" s="68">
        <v>1</v>
      </c>
      <c r="F18" s="68">
        <v>0</v>
      </c>
      <c r="G18" s="68">
        <v>1</v>
      </c>
      <c r="H18" s="68">
        <v>0</v>
      </c>
      <c r="I18" s="68">
        <v>1</v>
      </c>
      <c r="J18" s="68">
        <v>0</v>
      </c>
      <c r="K18" s="68">
        <v>0</v>
      </c>
      <c r="L18" s="68">
        <v>2</v>
      </c>
      <c r="M18" s="68">
        <v>0</v>
      </c>
    </row>
    <row r="19" spans="1:13" s="25" customFormat="1" ht="15.75" customHeight="1">
      <c r="A19" s="111" t="s">
        <v>458</v>
      </c>
      <c r="B19" s="262">
        <v>1144</v>
      </c>
      <c r="C19" s="68">
        <v>289</v>
      </c>
      <c r="D19" s="68">
        <v>174</v>
      </c>
      <c r="E19" s="68">
        <v>78</v>
      </c>
      <c r="F19" s="68">
        <v>10</v>
      </c>
      <c r="G19" s="68">
        <v>125</v>
      </c>
      <c r="H19" s="68">
        <v>2</v>
      </c>
      <c r="I19" s="68">
        <v>236</v>
      </c>
      <c r="J19" s="68">
        <v>155</v>
      </c>
      <c r="K19" s="68">
        <v>52</v>
      </c>
      <c r="L19" s="68">
        <v>10</v>
      </c>
      <c r="M19" s="68">
        <v>13</v>
      </c>
    </row>
    <row r="20" spans="1:17" s="25" customFormat="1" ht="15.75" customHeight="1">
      <c r="A20" s="111" t="s">
        <v>22</v>
      </c>
      <c r="B20" s="262">
        <v>574</v>
      </c>
      <c r="C20" s="68">
        <v>153</v>
      </c>
      <c r="D20" s="68">
        <v>79</v>
      </c>
      <c r="E20" s="68">
        <v>34</v>
      </c>
      <c r="F20" s="68">
        <v>3</v>
      </c>
      <c r="G20" s="68">
        <v>64</v>
      </c>
      <c r="H20" s="68">
        <v>1</v>
      </c>
      <c r="I20" s="68">
        <v>122</v>
      </c>
      <c r="J20" s="68">
        <v>77</v>
      </c>
      <c r="K20" s="68">
        <v>27</v>
      </c>
      <c r="L20" s="68">
        <v>5</v>
      </c>
      <c r="M20" s="68">
        <v>9</v>
      </c>
      <c r="Q20" s="64"/>
    </row>
    <row r="21" spans="1:13" s="25" customFormat="1" ht="15.75" customHeight="1">
      <c r="A21" s="111" t="s">
        <v>21</v>
      </c>
      <c r="B21" s="262">
        <v>570</v>
      </c>
      <c r="C21" s="68">
        <v>136</v>
      </c>
      <c r="D21" s="68">
        <v>95</v>
      </c>
      <c r="E21" s="68">
        <v>44</v>
      </c>
      <c r="F21" s="68">
        <v>7</v>
      </c>
      <c r="G21" s="68">
        <v>61</v>
      </c>
      <c r="H21" s="68">
        <v>1</v>
      </c>
      <c r="I21" s="68">
        <v>114</v>
      </c>
      <c r="J21" s="68">
        <v>78</v>
      </c>
      <c r="K21" s="68">
        <v>25</v>
      </c>
      <c r="L21" s="68">
        <v>5</v>
      </c>
      <c r="M21" s="68">
        <v>4</v>
      </c>
    </row>
    <row r="22" spans="1:13" s="25" customFormat="1" ht="15.75" customHeight="1">
      <c r="A22" s="113" t="s">
        <v>256</v>
      </c>
      <c r="B22" s="261">
        <v>6372</v>
      </c>
      <c r="C22" s="98">
        <v>1043</v>
      </c>
      <c r="D22" s="98">
        <v>881</v>
      </c>
      <c r="E22" s="98">
        <v>636</v>
      </c>
      <c r="F22" s="98">
        <v>262</v>
      </c>
      <c r="G22" s="98">
        <v>1252</v>
      </c>
      <c r="H22" s="98">
        <v>63</v>
      </c>
      <c r="I22" s="98">
        <v>700</v>
      </c>
      <c r="J22" s="98">
        <v>800</v>
      </c>
      <c r="K22" s="98">
        <v>273</v>
      </c>
      <c r="L22" s="98">
        <v>318</v>
      </c>
      <c r="M22" s="98">
        <v>144</v>
      </c>
    </row>
    <row r="23" spans="1:16" s="25" customFormat="1" ht="15.75" customHeight="1">
      <c r="A23" s="111" t="s">
        <v>136</v>
      </c>
      <c r="B23" s="262">
        <v>1048</v>
      </c>
      <c r="C23" s="68">
        <v>126</v>
      </c>
      <c r="D23" s="68">
        <v>174</v>
      </c>
      <c r="E23" s="68">
        <v>150</v>
      </c>
      <c r="F23" s="68">
        <v>61</v>
      </c>
      <c r="G23" s="68">
        <v>136</v>
      </c>
      <c r="H23" s="68">
        <v>12</v>
      </c>
      <c r="I23" s="68">
        <v>115</v>
      </c>
      <c r="J23" s="68">
        <v>105</v>
      </c>
      <c r="K23" s="68">
        <v>47</v>
      </c>
      <c r="L23" s="68">
        <v>89</v>
      </c>
      <c r="M23" s="68">
        <v>33</v>
      </c>
      <c r="P23" s="63"/>
    </row>
    <row r="24" spans="1:13" s="25" customFormat="1" ht="15.75" customHeight="1">
      <c r="A24" s="111" t="s">
        <v>22</v>
      </c>
      <c r="B24" s="262">
        <v>471</v>
      </c>
      <c r="C24" s="68">
        <v>74</v>
      </c>
      <c r="D24" s="68">
        <v>71</v>
      </c>
      <c r="E24" s="68">
        <v>55</v>
      </c>
      <c r="F24" s="68">
        <v>22</v>
      </c>
      <c r="G24" s="68">
        <v>56</v>
      </c>
      <c r="H24" s="68">
        <v>3</v>
      </c>
      <c r="I24" s="68">
        <v>62</v>
      </c>
      <c r="J24" s="68">
        <v>50</v>
      </c>
      <c r="K24" s="68">
        <v>17</v>
      </c>
      <c r="L24" s="68">
        <v>46</v>
      </c>
      <c r="M24" s="68">
        <v>15</v>
      </c>
    </row>
    <row r="25" spans="1:13" s="25" customFormat="1" ht="15.75" customHeight="1">
      <c r="A25" s="111" t="s">
        <v>21</v>
      </c>
      <c r="B25" s="262">
        <v>577</v>
      </c>
      <c r="C25" s="68">
        <v>52</v>
      </c>
      <c r="D25" s="68">
        <v>103</v>
      </c>
      <c r="E25" s="68">
        <v>95</v>
      </c>
      <c r="F25" s="68">
        <v>39</v>
      </c>
      <c r="G25" s="68">
        <v>80</v>
      </c>
      <c r="H25" s="68">
        <v>9</v>
      </c>
      <c r="I25" s="68">
        <v>53</v>
      </c>
      <c r="J25" s="68">
        <v>55</v>
      </c>
      <c r="K25" s="68">
        <v>30</v>
      </c>
      <c r="L25" s="68">
        <v>43</v>
      </c>
      <c r="M25" s="68">
        <v>18</v>
      </c>
    </row>
    <row r="26" spans="1:13" s="25" customFormat="1" ht="15.75" customHeight="1">
      <c r="A26" s="111" t="s">
        <v>261</v>
      </c>
      <c r="B26" s="262">
        <v>4932</v>
      </c>
      <c r="C26" s="68">
        <v>855</v>
      </c>
      <c r="D26" s="68">
        <v>653</v>
      </c>
      <c r="E26" s="68">
        <v>462</v>
      </c>
      <c r="F26" s="68">
        <v>192</v>
      </c>
      <c r="G26" s="68">
        <v>1056</v>
      </c>
      <c r="H26" s="68">
        <v>47</v>
      </c>
      <c r="I26" s="68">
        <v>499</v>
      </c>
      <c r="J26" s="68">
        <v>647</v>
      </c>
      <c r="K26" s="68">
        <v>209</v>
      </c>
      <c r="L26" s="68">
        <v>207</v>
      </c>
      <c r="M26" s="68">
        <v>105</v>
      </c>
    </row>
    <row r="27" spans="1:13" s="25" customFormat="1" ht="15.75" customHeight="1">
      <c r="A27" s="111" t="s">
        <v>22</v>
      </c>
      <c r="B27" s="262">
        <v>2428</v>
      </c>
      <c r="C27" s="68">
        <v>443</v>
      </c>
      <c r="D27" s="68">
        <v>306</v>
      </c>
      <c r="E27" s="68">
        <v>219</v>
      </c>
      <c r="F27" s="68">
        <v>90</v>
      </c>
      <c r="G27" s="68">
        <v>527</v>
      </c>
      <c r="H27" s="68">
        <v>27</v>
      </c>
      <c r="I27" s="68">
        <v>251</v>
      </c>
      <c r="J27" s="68">
        <v>294</v>
      </c>
      <c r="K27" s="68">
        <v>107</v>
      </c>
      <c r="L27" s="68">
        <v>106</v>
      </c>
      <c r="M27" s="68">
        <v>58</v>
      </c>
    </row>
    <row r="28" spans="1:13" s="25" customFormat="1" ht="15.75" customHeight="1">
      <c r="A28" s="111" t="s">
        <v>21</v>
      </c>
      <c r="B28" s="262">
        <v>2504</v>
      </c>
      <c r="C28" s="68">
        <v>412</v>
      </c>
      <c r="D28" s="68">
        <v>347</v>
      </c>
      <c r="E28" s="68">
        <v>243</v>
      </c>
      <c r="F28" s="68">
        <v>102</v>
      </c>
      <c r="G28" s="68">
        <v>529</v>
      </c>
      <c r="H28" s="68">
        <v>20</v>
      </c>
      <c r="I28" s="68">
        <v>248</v>
      </c>
      <c r="J28" s="68">
        <v>353</v>
      </c>
      <c r="K28" s="68">
        <v>102</v>
      </c>
      <c r="L28" s="68">
        <v>101</v>
      </c>
      <c r="M28" s="68">
        <v>47</v>
      </c>
    </row>
    <row r="29" spans="1:13" s="25" customFormat="1" ht="15.75" customHeight="1">
      <c r="A29" s="111" t="s">
        <v>458</v>
      </c>
      <c r="B29" s="262">
        <v>392</v>
      </c>
      <c r="C29" s="68">
        <v>62</v>
      </c>
      <c r="D29" s="68">
        <v>54</v>
      </c>
      <c r="E29" s="68">
        <v>24</v>
      </c>
      <c r="F29" s="68">
        <v>9</v>
      </c>
      <c r="G29" s="68">
        <v>60</v>
      </c>
      <c r="H29" s="68">
        <v>4</v>
      </c>
      <c r="I29" s="68">
        <v>86</v>
      </c>
      <c r="J29" s="68">
        <v>48</v>
      </c>
      <c r="K29" s="68">
        <v>17</v>
      </c>
      <c r="L29" s="68">
        <v>22</v>
      </c>
      <c r="M29" s="68">
        <v>6</v>
      </c>
    </row>
    <row r="30" spans="1:13" s="25" customFormat="1" ht="15.75" customHeight="1">
      <c r="A30" s="111" t="s">
        <v>22</v>
      </c>
      <c r="B30" s="262">
        <v>255</v>
      </c>
      <c r="C30" s="68">
        <v>45</v>
      </c>
      <c r="D30" s="68">
        <v>36</v>
      </c>
      <c r="E30" s="68">
        <v>12</v>
      </c>
      <c r="F30" s="68">
        <v>9</v>
      </c>
      <c r="G30" s="68">
        <v>36</v>
      </c>
      <c r="H30" s="68">
        <v>2</v>
      </c>
      <c r="I30" s="68">
        <v>54</v>
      </c>
      <c r="J30" s="68">
        <v>32</v>
      </c>
      <c r="K30" s="68">
        <v>11</v>
      </c>
      <c r="L30" s="68">
        <v>13</v>
      </c>
      <c r="M30" s="68">
        <v>5</v>
      </c>
    </row>
    <row r="31" spans="1:13" s="25" customFormat="1" ht="15.75" customHeight="1">
      <c r="A31" s="111" t="s">
        <v>21</v>
      </c>
      <c r="B31" s="262">
        <v>137</v>
      </c>
      <c r="C31" s="68">
        <v>17</v>
      </c>
      <c r="D31" s="68">
        <v>18</v>
      </c>
      <c r="E31" s="68">
        <v>12</v>
      </c>
      <c r="F31" s="68">
        <v>0</v>
      </c>
      <c r="G31" s="68">
        <v>24</v>
      </c>
      <c r="H31" s="68">
        <v>2</v>
      </c>
      <c r="I31" s="68">
        <v>32</v>
      </c>
      <c r="J31" s="68">
        <v>16</v>
      </c>
      <c r="K31" s="68">
        <v>6</v>
      </c>
      <c r="L31" s="68">
        <v>9</v>
      </c>
      <c r="M31" s="68">
        <v>1</v>
      </c>
    </row>
    <row r="32" spans="1:13" s="25" customFormat="1" ht="15.75" customHeight="1">
      <c r="A32" s="113" t="s">
        <v>81</v>
      </c>
      <c r="B32" s="261">
        <v>3921</v>
      </c>
      <c r="C32" s="98">
        <v>728</v>
      </c>
      <c r="D32" s="98">
        <v>609</v>
      </c>
      <c r="E32" s="98">
        <v>359</v>
      </c>
      <c r="F32" s="98">
        <v>202</v>
      </c>
      <c r="G32" s="98">
        <v>637</v>
      </c>
      <c r="H32" s="98">
        <v>35</v>
      </c>
      <c r="I32" s="98">
        <v>440</v>
      </c>
      <c r="J32" s="98">
        <v>541</v>
      </c>
      <c r="K32" s="98">
        <v>131</v>
      </c>
      <c r="L32" s="98">
        <v>166</v>
      </c>
      <c r="M32" s="98">
        <v>73</v>
      </c>
    </row>
    <row r="33" spans="1:13" s="25" customFormat="1" ht="15.75" customHeight="1">
      <c r="A33" s="111" t="s">
        <v>136</v>
      </c>
      <c r="B33" s="262">
        <v>928</v>
      </c>
      <c r="C33" s="68">
        <v>138</v>
      </c>
      <c r="D33" s="68">
        <v>147</v>
      </c>
      <c r="E33" s="68">
        <v>134</v>
      </c>
      <c r="F33" s="68">
        <v>55</v>
      </c>
      <c r="G33" s="68">
        <v>134</v>
      </c>
      <c r="H33" s="68">
        <v>13</v>
      </c>
      <c r="I33" s="68">
        <v>103</v>
      </c>
      <c r="J33" s="68">
        <v>85</v>
      </c>
      <c r="K33" s="68">
        <v>39</v>
      </c>
      <c r="L33" s="68">
        <v>59</v>
      </c>
      <c r="M33" s="68">
        <v>21</v>
      </c>
    </row>
    <row r="34" spans="1:13" s="25" customFormat="1" ht="15.75" customHeight="1">
      <c r="A34" s="111" t="s">
        <v>22</v>
      </c>
      <c r="B34" s="262">
        <v>458</v>
      </c>
      <c r="C34" s="68">
        <v>64</v>
      </c>
      <c r="D34" s="68">
        <v>65</v>
      </c>
      <c r="E34" s="68">
        <v>78</v>
      </c>
      <c r="F34" s="68">
        <v>24</v>
      </c>
      <c r="G34" s="68">
        <v>68</v>
      </c>
      <c r="H34" s="68">
        <v>6</v>
      </c>
      <c r="I34" s="68">
        <v>48</v>
      </c>
      <c r="J34" s="68">
        <v>44</v>
      </c>
      <c r="K34" s="68">
        <v>17</v>
      </c>
      <c r="L34" s="68">
        <v>27</v>
      </c>
      <c r="M34" s="68">
        <v>17</v>
      </c>
    </row>
    <row r="35" spans="1:13" s="25" customFormat="1" ht="15.75" customHeight="1">
      <c r="A35" s="111" t="s">
        <v>21</v>
      </c>
      <c r="B35" s="262">
        <v>470</v>
      </c>
      <c r="C35" s="68">
        <v>74</v>
      </c>
      <c r="D35" s="68">
        <v>82</v>
      </c>
      <c r="E35" s="68">
        <v>56</v>
      </c>
      <c r="F35" s="68">
        <v>31</v>
      </c>
      <c r="G35" s="68">
        <v>66</v>
      </c>
      <c r="H35" s="68">
        <v>7</v>
      </c>
      <c r="I35" s="68">
        <v>55</v>
      </c>
      <c r="J35" s="68">
        <v>41</v>
      </c>
      <c r="K35" s="68">
        <v>22</v>
      </c>
      <c r="L35" s="68">
        <v>32</v>
      </c>
      <c r="M35" s="68">
        <v>4</v>
      </c>
    </row>
    <row r="36" spans="1:19" s="25" customFormat="1" ht="15.75" customHeight="1">
      <c r="A36" s="111" t="s">
        <v>261</v>
      </c>
      <c r="B36" s="262">
        <v>2049</v>
      </c>
      <c r="C36" s="68">
        <v>356</v>
      </c>
      <c r="D36" s="68">
        <v>285</v>
      </c>
      <c r="E36" s="68">
        <v>137</v>
      </c>
      <c r="F36" s="68">
        <v>121</v>
      </c>
      <c r="G36" s="68">
        <v>386</v>
      </c>
      <c r="H36" s="68">
        <v>18</v>
      </c>
      <c r="I36" s="68">
        <v>209</v>
      </c>
      <c r="J36" s="68">
        <v>339</v>
      </c>
      <c r="K36" s="68">
        <v>73</v>
      </c>
      <c r="L36" s="68">
        <v>82</v>
      </c>
      <c r="M36" s="68">
        <v>43</v>
      </c>
      <c r="S36" s="62"/>
    </row>
    <row r="37" spans="1:13" s="25" customFormat="1" ht="15.75" customHeight="1">
      <c r="A37" s="111" t="s">
        <v>22</v>
      </c>
      <c r="B37" s="262">
        <v>978</v>
      </c>
      <c r="C37" s="68">
        <v>160</v>
      </c>
      <c r="D37" s="68">
        <v>157</v>
      </c>
      <c r="E37" s="68">
        <v>56</v>
      </c>
      <c r="F37" s="68">
        <v>57</v>
      </c>
      <c r="G37" s="68">
        <v>186</v>
      </c>
      <c r="H37" s="68">
        <v>9</v>
      </c>
      <c r="I37" s="68">
        <v>98</v>
      </c>
      <c r="J37" s="68">
        <v>164</v>
      </c>
      <c r="K37" s="68">
        <v>29</v>
      </c>
      <c r="L37" s="68">
        <v>39</v>
      </c>
      <c r="M37" s="68">
        <v>23</v>
      </c>
    </row>
    <row r="38" spans="1:13" s="25" customFormat="1" ht="15.75" customHeight="1">
      <c r="A38" s="111" t="s">
        <v>21</v>
      </c>
      <c r="B38" s="262">
        <v>1071</v>
      </c>
      <c r="C38" s="68">
        <v>196</v>
      </c>
      <c r="D38" s="68">
        <v>128</v>
      </c>
      <c r="E38" s="68">
        <v>81</v>
      </c>
      <c r="F38" s="68">
        <v>64</v>
      </c>
      <c r="G38" s="68">
        <v>200</v>
      </c>
      <c r="H38" s="68">
        <v>9</v>
      </c>
      <c r="I38" s="68">
        <v>111</v>
      </c>
      <c r="J38" s="68">
        <v>175</v>
      </c>
      <c r="K38" s="68">
        <v>44</v>
      </c>
      <c r="L38" s="68">
        <v>43</v>
      </c>
      <c r="M38" s="68">
        <v>20</v>
      </c>
    </row>
    <row r="39" spans="1:13" s="25" customFormat="1" ht="15.75" customHeight="1">
      <c r="A39" s="111" t="s">
        <v>458</v>
      </c>
      <c r="B39" s="262">
        <v>944</v>
      </c>
      <c r="C39" s="68">
        <v>234</v>
      </c>
      <c r="D39" s="68">
        <v>177</v>
      </c>
      <c r="E39" s="68">
        <v>88</v>
      </c>
      <c r="F39" s="68">
        <v>26</v>
      </c>
      <c r="G39" s="68">
        <v>117</v>
      </c>
      <c r="H39" s="68">
        <v>4</v>
      </c>
      <c r="I39" s="68">
        <v>128</v>
      </c>
      <c r="J39" s="68">
        <v>117</v>
      </c>
      <c r="K39" s="68">
        <v>19</v>
      </c>
      <c r="L39" s="68">
        <v>25</v>
      </c>
      <c r="M39" s="68">
        <v>9</v>
      </c>
    </row>
    <row r="40" spans="1:13" s="25" customFormat="1" ht="15.75" customHeight="1">
      <c r="A40" s="111" t="s">
        <v>22</v>
      </c>
      <c r="B40" s="262">
        <v>525</v>
      </c>
      <c r="C40" s="68">
        <v>109</v>
      </c>
      <c r="D40" s="68">
        <v>97</v>
      </c>
      <c r="E40" s="68">
        <v>47</v>
      </c>
      <c r="F40" s="68">
        <v>17</v>
      </c>
      <c r="G40" s="68">
        <v>75</v>
      </c>
      <c r="H40" s="68">
        <v>3</v>
      </c>
      <c r="I40" s="68">
        <v>74</v>
      </c>
      <c r="J40" s="68">
        <v>70</v>
      </c>
      <c r="K40" s="68">
        <v>14</v>
      </c>
      <c r="L40" s="68">
        <v>13</v>
      </c>
      <c r="M40" s="68">
        <v>6</v>
      </c>
    </row>
    <row r="41" spans="1:13" s="25" customFormat="1" ht="15.75" customHeight="1">
      <c r="A41" s="111" t="s">
        <v>21</v>
      </c>
      <c r="B41" s="262">
        <v>419</v>
      </c>
      <c r="C41" s="68">
        <v>125</v>
      </c>
      <c r="D41" s="68">
        <v>80</v>
      </c>
      <c r="E41" s="68">
        <v>41</v>
      </c>
      <c r="F41" s="68">
        <v>9</v>
      </c>
      <c r="G41" s="68">
        <v>42</v>
      </c>
      <c r="H41" s="68">
        <v>1</v>
      </c>
      <c r="I41" s="68">
        <v>54</v>
      </c>
      <c r="J41" s="68">
        <v>47</v>
      </c>
      <c r="K41" s="68">
        <v>5</v>
      </c>
      <c r="L41" s="68">
        <v>12</v>
      </c>
      <c r="M41" s="68">
        <v>3</v>
      </c>
    </row>
    <row r="42" spans="1:13" s="25" customFormat="1" ht="15.75" customHeight="1">
      <c r="A42" s="113" t="s">
        <v>137</v>
      </c>
      <c r="B42" s="261">
        <v>19</v>
      </c>
      <c r="C42" s="98">
        <v>3</v>
      </c>
      <c r="D42" s="98">
        <v>2</v>
      </c>
      <c r="E42" s="98">
        <v>2</v>
      </c>
      <c r="F42" s="98">
        <v>1</v>
      </c>
      <c r="G42" s="98">
        <v>1</v>
      </c>
      <c r="H42" s="98">
        <v>0</v>
      </c>
      <c r="I42" s="98">
        <v>2</v>
      </c>
      <c r="J42" s="98">
        <v>2</v>
      </c>
      <c r="K42" s="98">
        <v>1</v>
      </c>
      <c r="L42" s="98">
        <v>4</v>
      </c>
      <c r="M42" s="98">
        <v>1</v>
      </c>
    </row>
    <row r="43" spans="1:13" s="25" customFormat="1" ht="15.75" customHeight="1">
      <c r="A43" s="111" t="s">
        <v>136</v>
      </c>
      <c r="B43" s="262">
        <v>1</v>
      </c>
      <c r="C43" s="68">
        <v>0</v>
      </c>
      <c r="D43" s="68">
        <v>0</v>
      </c>
      <c r="E43" s="68">
        <v>0</v>
      </c>
      <c r="F43" s="68">
        <v>1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</row>
    <row r="44" spans="1:13" s="25" customFormat="1" ht="15.75" customHeight="1">
      <c r="A44" s="111" t="s">
        <v>21</v>
      </c>
      <c r="B44" s="262">
        <v>1</v>
      </c>
      <c r="C44" s="68">
        <v>0</v>
      </c>
      <c r="D44" s="68">
        <v>0</v>
      </c>
      <c r="E44" s="68">
        <v>0</v>
      </c>
      <c r="F44" s="68">
        <v>1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</row>
    <row r="45" spans="1:13" s="25" customFormat="1" ht="15.75" customHeight="1">
      <c r="A45" s="111" t="s">
        <v>261</v>
      </c>
      <c r="B45" s="262">
        <v>3</v>
      </c>
      <c r="C45" s="68">
        <v>0</v>
      </c>
      <c r="D45" s="68">
        <v>0</v>
      </c>
      <c r="E45" s="68">
        <v>0</v>
      </c>
      <c r="F45" s="68">
        <v>0</v>
      </c>
      <c r="G45" s="68">
        <v>1</v>
      </c>
      <c r="H45" s="68">
        <v>0</v>
      </c>
      <c r="I45" s="68">
        <v>1</v>
      </c>
      <c r="J45" s="68">
        <v>0</v>
      </c>
      <c r="K45" s="68">
        <v>0</v>
      </c>
      <c r="L45" s="68">
        <v>1</v>
      </c>
      <c r="M45" s="68">
        <v>0</v>
      </c>
    </row>
    <row r="46" spans="1:13" s="25" customFormat="1" ht="15.75" customHeight="1">
      <c r="A46" s="111" t="s">
        <v>21</v>
      </c>
      <c r="B46" s="262">
        <v>3</v>
      </c>
      <c r="C46" s="68">
        <v>0</v>
      </c>
      <c r="D46" s="68">
        <v>0</v>
      </c>
      <c r="E46" s="68">
        <v>0</v>
      </c>
      <c r="F46" s="68">
        <v>0</v>
      </c>
      <c r="G46" s="68">
        <v>1</v>
      </c>
      <c r="H46" s="68">
        <v>0</v>
      </c>
      <c r="I46" s="68">
        <v>1</v>
      </c>
      <c r="J46" s="68">
        <v>0</v>
      </c>
      <c r="K46" s="68">
        <v>0</v>
      </c>
      <c r="L46" s="68">
        <v>1</v>
      </c>
      <c r="M46" s="68">
        <v>0</v>
      </c>
    </row>
    <row r="47" spans="1:13" s="25" customFormat="1" ht="15.75" customHeight="1">
      <c r="A47" s="111" t="s">
        <v>458</v>
      </c>
      <c r="B47" s="262">
        <v>15</v>
      </c>
      <c r="C47" s="68">
        <v>3</v>
      </c>
      <c r="D47" s="68">
        <v>2</v>
      </c>
      <c r="E47" s="68">
        <v>2</v>
      </c>
      <c r="F47" s="68">
        <v>0</v>
      </c>
      <c r="G47" s="68">
        <v>0</v>
      </c>
      <c r="H47" s="68">
        <v>0</v>
      </c>
      <c r="I47" s="68">
        <v>1</v>
      </c>
      <c r="J47" s="68">
        <v>2</v>
      </c>
      <c r="K47" s="68">
        <v>1</v>
      </c>
      <c r="L47" s="68">
        <v>3</v>
      </c>
      <c r="M47" s="68">
        <v>1</v>
      </c>
    </row>
    <row r="48" spans="1:13" s="25" customFormat="1" ht="15.75" customHeight="1">
      <c r="A48" s="111" t="s">
        <v>22</v>
      </c>
      <c r="B48" s="262">
        <v>7</v>
      </c>
      <c r="C48" s="68">
        <v>3</v>
      </c>
      <c r="D48" s="68">
        <v>1</v>
      </c>
      <c r="E48" s="68">
        <v>1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2</v>
      </c>
      <c r="M48" s="68">
        <v>0</v>
      </c>
    </row>
    <row r="49" spans="1:13" s="25" customFormat="1" ht="15.75" customHeight="1">
      <c r="A49" s="111" t="s">
        <v>21</v>
      </c>
      <c r="B49" s="262">
        <v>8</v>
      </c>
      <c r="C49" s="68">
        <v>0</v>
      </c>
      <c r="D49" s="68">
        <v>1</v>
      </c>
      <c r="E49" s="68">
        <v>1</v>
      </c>
      <c r="F49" s="68">
        <v>0</v>
      </c>
      <c r="G49" s="68">
        <v>0</v>
      </c>
      <c r="H49" s="68">
        <v>0</v>
      </c>
      <c r="I49" s="68">
        <v>1</v>
      </c>
      <c r="J49" s="68">
        <v>2</v>
      </c>
      <c r="K49" s="68">
        <v>1</v>
      </c>
      <c r="L49" s="68">
        <v>1</v>
      </c>
      <c r="M49" s="68">
        <v>1</v>
      </c>
    </row>
    <row r="50" spans="1:13" s="25" customFormat="1" ht="15.75" customHeight="1">
      <c r="A50" s="113" t="s">
        <v>195</v>
      </c>
      <c r="B50" s="261">
        <v>21</v>
      </c>
      <c r="C50" s="98">
        <v>12</v>
      </c>
      <c r="D50" s="98">
        <v>0</v>
      </c>
      <c r="E50" s="98">
        <v>0</v>
      </c>
      <c r="F50" s="98">
        <v>1</v>
      </c>
      <c r="G50" s="98">
        <v>1</v>
      </c>
      <c r="H50" s="98">
        <v>0</v>
      </c>
      <c r="I50" s="98">
        <v>0</v>
      </c>
      <c r="J50" s="98">
        <v>7</v>
      </c>
      <c r="K50" s="98">
        <v>0</v>
      </c>
      <c r="L50" s="98">
        <v>0</v>
      </c>
      <c r="M50" s="98">
        <v>0</v>
      </c>
    </row>
    <row r="51" spans="1:13" s="25" customFormat="1" ht="15.75" customHeight="1">
      <c r="A51" s="111" t="s">
        <v>458</v>
      </c>
      <c r="B51" s="262">
        <v>21</v>
      </c>
      <c r="C51" s="68">
        <v>12</v>
      </c>
      <c r="D51" s="68">
        <v>0</v>
      </c>
      <c r="E51" s="68">
        <v>0</v>
      </c>
      <c r="F51" s="68">
        <v>1</v>
      </c>
      <c r="G51" s="68">
        <v>1</v>
      </c>
      <c r="H51" s="68">
        <v>0</v>
      </c>
      <c r="I51" s="68">
        <v>0</v>
      </c>
      <c r="J51" s="68">
        <v>7</v>
      </c>
      <c r="K51" s="68">
        <v>0</v>
      </c>
      <c r="L51" s="68">
        <v>0</v>
      </c>
      <c r="M51" s="68">
        <v>0</v>
      </c>
    </row>
    <row r="52" spans="1:13" s="25" customFormat="1" ht="15.75" customHeight="1">
      <c r="A52" s="111" t="s">
        <v>22</v>
      </c>
      <c r="B52" s="262">
        <v>7</v>
      </c>
      <c r="C52" s="68">
        <v>4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3</v>
      </c>
      <c r="K52" s="68">
        <v>0</v>
      </c>
      <c r="L52" s="68">
        <v>0</v>
      </c>
      <c r="M52" s="68">
        <v>0</v>
      </c>
    </row>
    <row r="53" spans="1:13" s="25" customFormat="1" ht="15.75" customHeight="1">
      <c r="A53" s="111" t="s">
        <v>21</v>
      </c>
      <c r="B53" s="262">
        <v>14</v>
      </c>
      <c r="C53" s="68">
        <v>8</v>
      </c>
      <c r="D53" s="68">
        <v>0</v>
      </c>
      <c r="E53" s="68">
        <v>0</v>
      </c>
      <c r="F53" s="68">
        <v>1</v>
      </c>
      <c r="G53" s="68">
        <v>1</v>
      </c>
      <c r="H53" s="68">
        <v>0</v>
      </c>
      <c r="I53" s="68">
        <v>0</v>
      </c>
      <c r="J53" s="68">
        <v>4</v>
      </c>
      <c r="K53" s="68">
        <v>0</v>
      </c>
      <c r="L53" s="68">
        <v>0</v>
      </c>
      <c r="M53" s="68">
        <v>0</v>
      </c>
    </row>
    <row r="54" spans="1:13" s="25" customFormat="1" ht="15.75" customHeight="1">
      <c r="A54" s="113" t="s">
        <v>138</v>
      </c>
      <c r="B54" s="261">
        <v>12</v>
      </c>
      <c r="C54" s="98">
        <v>0</v>
      </c>
      <c r="D54" s="98">
        <v>0</v>
      </c>
      <c r="E54" s="98">
        <v>0</v>
      </c>
      <c r="F54" s="98">
        <v>1</v>
      </c>
      <c r="G54" s="98">
        <v>0</v>
      </c>
      <c r="H54" s="98">
        <v>0</v>
      </c>
      <c r="I54" s="98">
        <v>0</v>
      </c>
      <c r="J54" s="98">
        <v>8</v>
      </c>
      <c r="K54" s="98">
        <v>0</v>
      </c>
      <c r="L54" s="98">
        <v>3</v>
      </c>
      <c r="M54" s="98">
        <v>0</v>
      </c>
    </row>
    <row r="55" spans="1:13" s="25" customFormat="1" ht="15.75" customHeight="1">
      <c r="A55" s="111" t="s">
        <v>136</v>
      </c>
      <c r="B55" s="262">
        <v>12</v>
      </c>
      <c r="C55" s="68">
        <v>0</v>
      </c>
      <c r="D55" s="68">
        <v>0</v>
      </c>
      <c r="E55" s="68">
        <v>0</v>
      </c>
      <c r="F55" s="68">
        <v>1</v>
      </c>
      <c r="G55" s="68">
        <v>0</v>
      </c>
      <c r="H55" s="68">
        <v>0</v>
      </c>
      <c r="I55" s="68">
        <v>0</v>
      </c>
      <c r="J55" s="68">
        <v>8</v>
      </c>
      <c r="K55" s="68">
        <v>0</v>
      </c>
      <c r="L55" s="68">
        <v>3</v>
      </c>
      <c r="M55" s="68">
        <v>0</v>
      </c>
    </row>
    <row r="56" spans="1:13" s="25" customFormat="1" ht="15.75" customHeight="1">
      <c r="A56" s="128" t="s">
        <v>22</v>
      </c>
      <c r="B56" s="262">
        <v>3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3</v>
      </c>
      <c r="K56" s="68">
        <v>0</v>
      </c>
      <c r="L56" s="68">
        <v>0</v>
      </c>
      <c r="M56" s="68">
        <v>0</v>
      </c>
    </row>
    <row r="57" spans="1:13" s="25" customFormat="1" ht="15.75" customHeight="1" thickBot="1">
      <c r="A57" s="152" t="s">
        <v>21</v>
      </c>
      <c r="B57" s="263">
        <v>9</v>
      </c>
      <c r="C57" s="83">
        <v>0</v>
      </c>
      <c r="D57" s="83">
        <v>0</v>
      </c>
      <c r="E57" s="83">
        <v>0</v>
      </c>
      <c r="F57" s="83">
        <v>1</v>
      </c>
      <c r="G57" s="83">
        <v>0</v>
      </c>
      <c r="H57" s="83">
        <v>0</v>
      </c>
      <c r="I57" s="83">
        <v>0</v>
      </c>
      <c r="J57" s="83">
        <v>5</v>
      </c>
      <c r="K57" s="83">
        <v>0</v>
      </c>
      <c r="L57" s="83">
        <v>3</v>
      </c>
      <c r="M57" s="83">
        <v>0</v>
      </c>
    </row>
    <row r="58" spans="1:13" ht="12.75">
      <c r="A58" s="392" t="s">
        <v>635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</row>
    <row r="59" spans="1:11" ht="14.2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ht="14.2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4.2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4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4.2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4.2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</row>
    <row r="65" spans="1:11" ht="14.2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</row>
    <row r="66" spans="1:11" ht="14.2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</row>
    <row r="67" spans="1:11" ht="14.2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</row>
    <row r="68" spans="1:11" ht="14.2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</row>
    <row r="69" spans="1:11" ht="14.2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4.2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11" ht="14.2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</row>
    <row r="72" spans="1:11" ht="14.2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4.2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4.2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4.2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1" ht="14.2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1" ht="14.2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ht="14.2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</row>
    <row r="79" spans="1:11" ht="14.2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</row>
    <row r="80" spans="1:11" ht="14.2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11" ht="14.2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  <row r="82" spans="1:11" ht="14.2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</row>
    <row r="83" spans="1:11" ht="14.2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1:11" ht="14.2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  <row r="85" spans="1:11" ht="14.2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</row>
    <row r="86" spans="1:11" ht="14.2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</row>
    <row r="87" spans="1:11" ht="14.2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</row>
    <row r="88" spans="1:11" ht="14.2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</row>
    <row r="89" spans="1:11" ht="14.2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</row>
    <row r="90" spans="1:11" ht="14.2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</row>
    <row r="91" spans="1:11" ht="14.2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</row>
    <row r="92" spans="1:11" ht="14.2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</row>
    <row r="93" spans="1:11" ht="14.2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</row>
    <row r="94" spans="1:11" ht="14.2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</row>
    <row r="95" spans="1:11" ht="14.2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</row>
    <row r="96" spans="1:11" ht="14.2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</row>
    <row r="97" spans="1:11" ht="14.2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</row>
  </sheetData>
  <sheetProtection/>
  <mergeCells count="5">
    <mergeCell ref="A58:M58"/>
    <mergeCell ref="A1:M1"/>
    <mergeCell ref="A2:M2"/>
    <mergeCell ref="A3:M3"/>
    <mergeCell ref="C4:M4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1"/>
  <sheetViews>
    <sheetView zoomScale="85" zoomScaleNormal="85" zoomScalePageLayoutView="0" workbookViewId="0" topLeftCell="A1">
      <selection activeCell="Q41" sqref="Q41"/>
    </sheetView>
  </sheetViews>
  <sheetFormatPr defaultColWidth="11.421875" defaultRowHeight="12.75"/>
  <cols>
    <col min="1" max="1" width="54.7109375" style="77" customWidth="1"/>
    <col min="2" max="2" width="11.8515625" style="77" customWidth="1"/>
    <col min="3" max="3" width="8.28125" style="77" bestFit="1" customWidth="1"/>
    <col min="4" max="4" width="9.421875" style="77" bestFit="1" customWidth="1"/>
    <col min="5" max="5" width="9.57421875" style="77" bestFit="1" customWidth="1"/>
    <col min="6" max="6" width="14.421875" style="77" bestFit="1" customWidth="1"/>
    <col min="7" max="7" width="9.57421875" style="77" bestFit="1" customWidth="1"/>
    <col min="8" max="8" width="10.140625" style="77" bestFit="1" customWidth="1"/>
    <col min="9" max="9" width="9.57421875" style="77" bestFit="1" customWidth="1"/>
    <col min="10" max="10" width="9.421875" style="77" bestFit="1" customWidth="1"/>
    <col min="11" max="11" width="10.57421875" style="77" bestFit="1" customWidth="1"/>
    <col min="12" max="12" width="9.7109375" style="77" bestFit="1" customWidth="1"/>
    <col min="13" max="13" width="15.7109375" style="77" bestFit="1" customWidth="1"/>
    <col min="14" max="16384" width="11.421875" style="77" customWidth="1"/>
  </cols>
  <sheetData>
    <row r="1" spans="1:13" ht="18" customHeight="1">
      <c r="A1" s="412" t="s">
        <v>417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5.7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5.75" customHeight="1" thickBot="1">
      <c r="A3" s="414" t="s">
        <v>448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80"/>
      <c r="B4" s="34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80"/>
      <c r="B5" s="342"/>
      <c r="C5" s="343" t="s">
        <v>123</v>
      </c>
      <c r="D5" s="343" t="s">
        <v>124</v>
      </c>
      <c r="E5" s="343" t="s">
        <v>125</v>
      </c>
      <c r="F5" s="343" t="s">
        <v>126</v>
      </c>
      <c r="G5" s="343" t="s">
        <v>127</v>
      </c>
      <c r="H5" s="343" t="s">
        <v>128</v>
      </c>
      <c r="I5" s="343" t="s">
        <v>129</v>
      </c>
      <c r="J5" s="343" t="s">
        <v>130</v>
      </c>
      <c r="K5" s="343" t="s">
        <v>131</v>
      </c>
      <c r="L5" s="343" t="s">
        <v>132</v>
      </c>
      <c r="M5" s="343" t="s">
        <v>133</v>
      </c>
    </row>
    <row r="6" spans="1:13" ht="15.75" customHeight="1">
      <c r="A6" s="79" t="s">
        <v>134</v>
      </c>
      <c r="B6" s="261">
        <v>25485</v>
      </c>
      <c r="C6" s="98">
        <v>3264</v>
      </c>
      <c r="D6" s="98">
        <v>3323</v>
      </c>
      <c r="E6" s="98">
        <v>3393</v>
      </c>
      <c r="F6" s="98">
        <v>2077</v>
      </c>
      <c r="G6" s="98">
        <v>3750</v>
      </c>
      <c r="H6" s="98">
        <v>351</v>
      </c>
      <c r="I6" s="98">
        <v>2928</v>
      </c>
      <c r="J6" s="98">
        <v>2677</v>
      </c>
      <c r="K6" s="98">
        <v>1162</v>
      </c>
      <c r="L6" s="98">
        <v>1721</v>
      </c>
      <c r="M6" s="98">
        <v>839</v>
      </c>
    </row>
    <row r="7" spans="1:13" ht="15.75" customHeight="1">
      <c r="A7" s="79" t="s">
        <v>363</v>
      </c>
      <c r="B7" s="261">
        <v>12319</v>
      </c>
      <c r="C7" s="98">
        <v>1581</v>
      </c>
      <c r="D7" s="98">
        <v>1679</v>
      </c>
      <c r="E7" s="98">
        <v>1573</v>
      </c>
      <c r="F7" s="98">
        <v>1084</v>
      </c>
      <c r="G7" s="98">
        <v>1742</v>
      </c>
      <c r="H7" s="98">
        <v>159</v>
      </c>
      <c r="I7" s="98">
        <v>1387</v>
      </c>
      <c r="J7" s="98">
        <v>1313</v>
      </c>
      <c r="K7" s="98">
        <v>588</v>
      </c>
      <c r="L7" s="98">
        <v>816</v>
      </c>
      <c r="M7" s="98">
        <v>397</v>
      </c>
    </row>
    <row r="8" spans="1:13" ht="15.75" customHeight="1">
      <c r="A8" s="75" t="s">
        <v>364</v>
      </c>
      <c r="B8" s="262">
        <v>154</v>
      </c>
      <c r="C8" s="68">
        <v>11</v>
      </c>
      <c r="D8" s="68">
        <v>15</v>
      </c>
      <c r="E8" s="68">
        <v>26</v>
      </c>
      <c r="F8" s="68">
        <v>15</v>
      </c>
      <c r="G8" s="68">
        <v>15</v>
      </c>
      <c r="H8" s="68">
        <v>3</v>
      </c>
      <c r="I8" s="68">
        <v>20</v>
      </c>
      <c r="J8" s="68">
        <v>16</v>
      </c>
      <c r="K8" s="68">
        <v>10</v>
      </c>
      <c r="L8" s="68">
        <v>14</v>
      </c>
      <c r="M8" s="68">
        <v>9</v>
      </c>
    </row>
    <row r="9" spans="1:13" ht="15.75" customHeight="1">
      <c r="A9" s="75" t="s">
        <v>365</v>
      </c>
      <c r="B9" s="262">
        <v>154</v>
      </c>
      <c r="C9" s="68">
        <v>11</v>
      </c>
      <c r="D9" s="68">
        <v>15</v>
      </c>
      <c r="E9" s="68">
        <v>26</v>
      </c>
      <c r="F9" s="68">
        <v>15</v>
      </c>
      <c r="G9" s="68">
        <v>15</v>
      </c>
      <c r="H9" s="68">
        <v>3</v>
      </c>
      <c r="I9" s="68">
        <v>20</v>
      </c>
      <c r="J9" s="68">
        <v>16</v>
      </c>
      <c r="K9" s="68">
        <v>10</v>
      </c>
      <c r="L9" s="68">
        <v>14</v>
      </c>
      <c r="M9" s="68">
        <v>9</v>
      </c>
    </row>
    <row r="10" spans="1:13" ht="15.75" customHeight="1">
      <c r="A10" s="75" t="s">
        <v>366</v>
      </c>
      <c r="B10" s="262">
        <v>3063</v>
      </c>
      <c r="C10" s="68">
        <v>304</v>
      </c>
      <c r="D10" s="68">
        <v>411</v>
      </c>
      <c r="E10" s="68">
        <v>410</v>
      </c>
      <c r="F10" s="68">
        <v>277</v>
      </c>
      <c r="G10" s="68">
        <v>408</v>
      </c>
      <c r="H10" s="68">
        <v>46</v>
      </c>
      <c r="I10" s="68">
        <v>355</v>
      </c>
      <c r="J10" s="68">
        <v>359</v>
      </c>
      <c r="K10" s="68">
        <v>171</v>
      </c>
      <c r="L10" s="68">
        <v>203</v>
      </c>
      <c r="M10" s="68">
        <v>119</v>
      </c>
    </row>
    <row r="11" spans="1:13" ht="15.75" customHeight="1">
      <c r="A11" s="75" t="s">
        <v>367</v>
      </c>
      <c r="B11" s="262">
        <v>18</v>
      </c>
      <c r="C11" s="68">
        <v>1</v>
      </c>
      <c r="D11" s="68">
        <v>3</v>
      </c>
      <c r="E11" s="68">
        <v>6</v>
      </c>
      <c r="F11" s="68">
        <v>2</v>
      </c>
      <c r="G11" s="68">
        <v>0</v>
      </c>
      <c r="H11" s="68">
        <v>0</v>
      </c>
      <c r="I11" s="68">
        <v>1</v>
      </c>
      <c r="J11" s="68">
        <v>1</v>
      </c>
      <c r="K11" s="68">
        <v>0</v>
      </c>
      <c r="L11" s="68">
        <v>4</v>
      </c>
      <c r="M11" s="68">
        <v>0</v>
      </c>
    </row>
    <row r="12" spans="1:13" ht="15.75" customHeight="1">
      <c r="A12" s="75" t="s">
        <v>368</v>
      </c>
      <c r="B12" s="262">
        <v>141</v>
      </c>
      <c r="C12" s="68">
        <v>23</v>
      </c>
      <c r="D12" s="68">
        <v>23</v>
      </c>
      <c r="E12" s="68">
        <v>14</v>
      </c>
      <c r="F12" s="68">
        <v>5</v>
      </c>
      <c r="G12" s="68">
        <v>17</v>
      </c>
      <c r="H12" s="68">
        <v>0</v>
      </c>
      <c r="I12" s="68">
        <v>21</v>
      </c>
      <c r="J12" s="68">
        <v>15</v>
      </c>
      <c r="K12" s="68">
        <v>6</v>
      </c>
      <c r="L12" s="68">
        <v>10</v>
      </c>
      <c r="M12" s="68">
        <v>7</v>
      </c>
    </row>
    <row r="13" spans="1:13" ht="15.75" customHeight="1">
      <c r="A13" s="75" t="s">
        <v>369</v>
      </c>
      <c r="B13" s="262">
        <v>35</v>
      </c>
      <c r="C13" s="68">
        <v>6</v>
      </c>
      <c r="D13" s="68">
        <v>7</v>
      </c>
      <c r="E13" s="68">
        <v>1</v>
      </c>
      <c r="F13" s="68">
        <v>2</v>
      </c>
      <c r="G13" s="68">
        <v>6</v>
      </c>
      <c r="H13" s="68">
        <v>1</v>
      </c>
      <c r="I13" s="68">
        <v>3</v>
      </c>
      <c r="J13" s="68">
        <v>4</v>
      </c>
      <c r="K13" s="68">
        <v>3</v>
      </c>
      <c r="L13" s="68">
        <v>2</v>
      </c>
      <c r="M13" s="68">
        <v>0</v>
      </c>
    </row>
    <row r="14" spans="1:13" ht="15.75" customHeight="1">
      <c r="A14" s="75" t="s">
        <v>370</v>
      </c>
      <c r="B14" s="262">
        <v>202</v>
      </c>
      <c r="C14" s="68">
        <v>35</v>
      </c>
      <c r="D14" s="68">
        <v>21</v>
      </c>
      <c r="E14" s="68">
        <v>24</v>
      </c>
      <c r="F14" s="68">
        <v>21</v>
      </c>
      <c r="G14" s="68">
        <v>32</v>
      </c>
      <c r="H14" s="68">
        <v>2</v>
      </c>
      <c r="I14" s="68">
        <v>18</v>
      </c>
      <c r="J14" s="68">
        <v>18</v>
      </c>
      <c r="K14" s="68">
        <v>14</v>
      </c>
      <c r="L14" s="68">
        <v>13</v>
      </c>
      <c r="M14" s="68">
        <v>4</v>
      </c>
    </row>
    <row r="15" spans="1:13" ht="15.75" customHeight="1">
      <c r="A15" s="75" t="s">
        <v>371</v>
      </c>
      <c r="B15" s="262">
        <v>30</v>
      </c>
      <c r="C15" s="68">
        <v>2</v>
      </c>
      <c r="D15" s="68">
        <v>3</v>
      </c>
      <c r="E15" s="68">
        <v>2</v>
      </c>
      <c r="F15" s="68">
        <v>2</v>
      </c>
      <c r="G15" s="68">
        <v>4</v>
      </c>
      <c r="H15" s="68">
        <v>0</v>
      </c>
      <c r="I15" s="68">
        <v>3</v>
      </c>
      <c r="J15" s="68">
        <v>10</v>
      </c>
      <c r="K15" s="68">
        <v>3</v>
      </c>
      <c r="L15" s="68">
        <v>1</v>
      </c>
      <c r="M15" s="68">
        <v>0</v>
      </c>
    </row>
    <row r="16" spans="1:13" ht="15.75" customHeight="1">
      <c r="A16" s="75" t="s">
        <v>372</v>
      </c>
      <c r="B16" s="262">
        <v>106</v>
      </c>
      <c r="C16" s="68">
        <v>12</v>
      </c>
      <c r="D16" s="68">
        <v>35</v>
      </c>
      <c r="E16" s="68">
        <v>10</v>
      </c>
      <c r="F16" s="68">
        <v>5</v>
      </c>
      <c r="G16" s="68">
        <v>7</v>
      </c>
      <c r="H16" s="68">
        <v>2</v>
      </c>
      <c r="I16" s="68">
        <v>10</v>
      </c>
      <c r="J16" s="68">
        <v>8</v>
      </c>
      <c r="K16" s="68">
        <v>7</v>
      </c>
      <c r="L16" s="68">
        <v>3</v>
      </c>
      <c r="M16" s="68">
        <v>7</v>
      </c>
    </row>
    <row r="17" spans="1:13" ht="15.75" customHeight="1">
      <c r="A17" s="75" t="s">
        <v>373</v>
      </c>
      <c r="B17" s="262">
        <v>359</v>
      </c>
      <c r="C17" s="68">
        <v>39</v>
      </c>
      <c r="D17" s="68">
        <v>57</v>
      </c>
      <c r="E17" s="68">
        <v>62</v>
      </c>
      <c r="F17" s="68">
        <v>23</v>
      </c>
      <c r="G17" s="68">
        <v>45</v>
      </c>
      <c r="H17" s="68">
        <v>2</v>
      </c>
      <c r="I17" s="68">
        <v>30</v>
      </c>
      <c r="J17" s="68">
        <v>41</v>
      </c>
      <c r="K17" s="68">
        <v>17</v>
      </c>
      <c r="L17" s="68">
        <v>28</v>
      </c>
      <c r="M17" s="68">
        <v>15</v>
      </c>
    </row>
    <row r="18" spans="1:13" ht="15.75" customHeight="1">
      <c r="A18" s="75" t="s">
        <v>374</v>
      </c>
      <c r="B18" s="262">
        <v>168</v>
      </c>
      <c r="C18" s="68">
        <v>17</v>
      </c>
      <c r="D18" s="68">
        <v>27</v>
      </c>
      <c r="E18" s="68">
        <v>37</v>
      </c>
      <c r="F18" s="68">
        <v>12</v>
      </c>
      <c r="G18" s="68">
        <v>18</v>
      </c>
      <c r="H18" s="68">
        <v>2</v>
      </c>
      <c r="I18" s="68">
        <v>13</v>
      </c>
      <c r="J18" s="68">
        <v>21</v>
      </c>
      <c r="K18" s="68">
        <v>9</v>
      </c>
      <c r="L18" s="68">
        <v>10</v>
      </c>
      <c r="M18" s="68">
        <v>2</v>
      </c>
    </row>
    <row r="19" spans="1:13" ht="15.75" customHeight="1">
      <c r="A19" s="75" t="s">
        <v>375</v>
      </c>
      <c r="B19" s="262">
        <v>70</v>
      </c>
      <c r="C19" s="68">
        <v>9</v>
      </c>
      <c r="D19" s="68">
        <v>9</v>
      </c>
      <c r="E19" s="68">
        <v>10</v>
      </c>
      <c r="F19" s="68">
        <v>5</v>
      </c>
      <c r="G19" s="68">
        <v>10</v>
      </c>
      <c r="H19" s="68">
        <v>0</v>
      </c>
      <c r="I19" s="68">
        <v>11</v>
      </c>
      <c r="J19" s="68">
        <v>7</v>
      </c>
      <c r="K19" s="68">
        <v>6</v>
      </c>
      <c r="L19" s="68">
        <v>3</v>
      </c>
      <c r="M19" s="68">
        <v>0</v>
      </c>
    </row>
    <row r="20" spans="1:13" ht="15.75" customHeight="1">
      <c r="A20" s="75" t="s">
        <v>376</v>
      </c>
      <c r="B20" s="262">
        <v>448</v>
      </c>
      <c r="C20" s="68">
        <v>32</v>
      </c>
      <c r="D20" s="68">
        <v>46</v>
      </c>
      <c r="E20" s="68">
        <v>68</v>
      </c>
      <c r="F20" s="68">
        <v>38</v>
      </c>
      <c r="G20" s="68">
        <v>67</v>
      </c>
      <c r="H20" s="68">
        <v>9</v>
      </c>
      <c r="I20" s="68">
        <v>58</v>
      </c>
      <c r="J20" s="68">
        <v>61</v>
      </c>
      <c r="K20" s="68">
        <v>22</v>
      </c>
      <c r="L20" s="68">
        <v>25</v>
      </c>
      <c r="M20" s="68">
        <v>22</v>
      </c>
    </row>
    <row r="21" spans="1:13" ht="15.75" customHeight="1">
      <c r="A21" s="75" t="s">
        <v>377</v>
      </c>
      <c r="B21" s="262">
        <v>231</v>
      </c>
      <c r="C21" s="68">
        <v>15</v>
      </c>
      <c r="D21" s="68">
        <v>18</v>
      </c>
      <c r="E21" s="68">
        <v>11</v>
      </c>
      <c r="F21" s="68">
        <v>10</v>
      </c>
      <c r="G21" s="68">
        <v>32</v>
      </c>
      <c r="H21" s="68">
        <v>4</v>
      </c>
      <c r="I21" s="68">
        <v>53</v>
      </c>
      <c r="J21" s="68">
        <v>42</v>
      </c>
      <c r="K21" s="68">
        <v>16</v>
      </c>
      <c r="L21" s="68">
        <v>14</v>
      </c>
      <c r="M21" s="68">
        <v>16</v>
      </c>
    </row>
    <row r="22" spans="1:13" ht="15.75" customHeight="1">
      <c r="A22" s="75" t="s">
        <v>378</v>
      </c>
      <c r="B22" s="262">
        <v>236</v>
      </c>
      <c r="C22" s="68">
        <v>28</v>
      </c>
      <c r="D22" s="68">
        <v>25</v>
      </c>
      <c r="E22" s="68">
        <v>24</v>
      </c>
      <c r="F22" s="68">
        <v>21</v>
      </c>
      <c r="G22" s="68">
        <v>38</v>
      </c>
      <c r="H22" s="68">
        <v>5</v>
      </c>
      <c r="I22" s="68">
        <v>20</v>
      </c>
      <c r="J22" s="68">
        <v>35</v>
      </c>
      <c r="K22" s="68">
        <v>17</v>
      </c>
      <c r="L22" s="68">
        <v>12</v>
      </c>
      <c r="M22" s="68">
        <v>11</v>
      </c>
    </row>
    <row r="23" spans="1:13" ht="15.75" customHeight="1">
      <c r="A23" s="75" t="s">
        <v>379</v>
      </c>
      <c r="B23" s="262">
        <v>159</v>
      </c>
      <c r="C23" s="68">
        <v>8</v>
      </c>
      <c r="D23" s="68">
        <v>21</v>
      </c>
      <c r="E23" s="68">
        <v>14</v>
      </c>
      <c r="F23" s="68">
        <v>17</v>
      </c>
      <c r="G23" s="68">
        <v>20</v>
      </c>
      <c r="H23" s="68">
        <v>5</v>
      </c>
      <c r="I23" s="68">
        <v>24</v>
      </c>
      <c r="J23" s="68">
        <v>19</v>
      </c>
      <c r="K23" s="68">
        <v>10</v>
      </c>
      <c r="L23" s="68">
        <v>15</v>
      </c>
      <c r="M23" s="68">
        <v>6</v>
      </c>
    </row>
    <row r="24" spans="1:13" ht="15.75" customHeight="1">
      <c r="A24" s="75" t="s">
        <v>380</v>
      </c>
      <c r="B24" s="262">
        <v>860</v>
      </c>
      <c r="C24" s="68">
        <v>77</v>
      </c>
      <c r="D24" s="68">
        <v>116</v>
      </c>
      <c r="E24" s="68">
        <v>127</v>
      </c>
      <c r="F24" s="68">
        <v>114</v>
      </c>
      <c r="G24" s="68">
        <v>112</v>
      </c>
      <c r="H24" s="68">
        <v>14</v>
      </c>
      <c r="I24" s="68">
        <v>90</v>
      </c>
      <c r="J24" s="68">
        <v>77</v>
      </c>
      <c r="K24" s="68">
        <v>41</v>
      </c>
      <c r="L24" s="68">
        <v>63</v>
      </c>
      <c r="M24" s="68">
        <v>29</v>
      </c>
    </row>
    <row r="25" spans="1:13" ht="15.75" customHeight="1">
      <c r="A25" s="75" t="s">
        <v>381</v>
      </c>
      <c r="B25" s="262">
        <v>9102</v>
      </c>
      <c r="C25" s="68">
        <v>1266</v>
      </c>
      <c r="D25" s="68">
        <v>1253</v>
      </c>
      <c r="E25" s="68">
        <v>1137</v>
      </c>
      <c r="F25" s="68">
        <v>792</v>
      </c>
      <c r="G25" s="68">
        <v>1319</v>
      </c>
      <c r="H25" s="68">
        <v>110</v>
      </c>
      <c r="I25" s="68">
        <v>1012</v>
      </c>
      <c r="J25" s="68">
        <v>938</v>
      </c>
      <c r="K25" s="68">
        <v>407</v>
      </c>
      <c r="L25" s="68">
        <v>599</v>
      </c>
      <c r="M25" s="68">
        <v>269</v>
      </c>
    </row>
    <row r="26" spans="1:13" ht="15.75" customHeight="1">
      <c r="A26" s="75" t="s">
        <v>382</v>
      </c>
      <c r="B26" s="262">
        <v>1079</v>
      </c>
      <c r="C26" s="68">
        <v>158</v>
      </c>
      <c r="D26" s="68">
        <v>171</v>
      </c>
      <c r="E26" s="68">
        <v>146</v>
      </c>
      <c r="F26" s="68">
        <v>78</v>
      </c>
      <c r="G26" s="68">
        <v>132</v>
      </c>
      <c r="H26" s="68">
        <v>9</v>
      </c>
      <c r="I26" s="68">
        <v>135</v>
      </c>
      <c r="J26" s="68">
        <v>124</v>
      </c>
      <c r="K26" s="68">
        <v>48</v>
      </c>
      <c r="L26" s="68">
        <v>60</v>
      </c>
      <c r="M26" s="68">
        <v>18</v>
      </c>
    </row>
    <row r="27" spans="1:13" ht="15.75" customHeight="1">
      <c r="A27" s="75" t="s">
        <v>383</v>
      </c>
      <c r="B27" s="262">
        <v>320</v>
      </c>
      <c r="C27" s="68">
        <v>30</v>
      </c>
      <c r="D27" s="68">
        <v>50</v>
      </c>
      <c r="E27" s="68">
        <v>31</v>
      </c>
      <c r="F27" s="68">
        <v>43</v>
      </c>
      <c r="G27" s="68">
        <v>32</v>
      </c>
      <c r="H27" s="68">
        <v>2</v>
      </c>
      <c r="I27" s="68">
        <v>45</v>
      </c>
      <c r="J27" s="68">
        <v>30</v>
      </c>
      <c r="K27" s="68">
        <v>12</v>
      </c>
      <c r="L27" s="68">
        <v>35</v>
      </c>
      <c r="M27" s="68">
        <v>10</v>
      </c>
    </row>
    <row r="28" spans="1:13" ht="15.75" customHeight="1">
      <c r="A28" s="75" t="s">
        <v>384</v>
      </c>
      <c r="B28" s="262">
        <v>264</v>
      </c>
      <c r="C28" s="68">
        <v>39</v>
      </c>
      <c r="D28" s="68">
        <v>48</v>
      </c>
      <c r="E28" s="68">
        <v>22</v>
      </c>
      <c r="F28" s="68">
        <v>45</v>
      </c>
      <c r="G28" s="68">
        <v>42</v>
      </c>
      <c r="H28" s="68">
        <v>2</v>
      </c>
      <c r="I28" s="68">
        <v>19</v>
      </c>
      <c r="J28" s="68">
        <v>18</v>
      </c>
      <c r="K28" s="68">
        <v>8</v>
      </c>
      <c r="L28" s="68">
        <v>15</v>
      </c>
      <c r="M28" s="68">
        <v>6</v>
      </c>
    </row>
    <row r="29" spans="1:13" ht="15.75" customHeight="1">
      <c r="A29" s="75" t="s">
        <v>385</v>
      </c>
      <c r="B29" s="262">
        <v>80</v>
      </c>
      <c r="C29" s="68">
        <v>14</v>
      </c>
      <c r="D29" s="68">
        <v>17</v>
      </c>
      <c r="E29" s="68">
        <v>7</v>
      </c>
      <c r="F29" s="68">
        <v>6</v>
      </c>
      <c r="G29" s="68">
        <v>9</v>
      </c>
      <c r="H29" s="68">
        <v>1</v>
      </c>
      <c r="I29" s="68">
        <v>11</v>
      </c>
      <c r="J29" s="68">
        <v>4</v>
      </c>
      <c r="K29" s="68">
        <v>1</v>
      </c>
      <c r="L29" s="68">
        <v>8</v>
      </c>
      <c r="M29" s="68">
        <v>2</v>
      </c>
    </row>
    <row r="30" spans="1:13" ht="15.75" customHeight="1">
      <c r="A30" s="75" t="s">
        <v>386</v>
      </c>
      <c r="B30" s="262">
        <v>43</v>
      </c>
      <c r="C30" s="68">
        <v>5</v>
      </c>
      <c r="D30" s="68">
        <v>3</v>
      </c>
      <c r="E30" s="68">
        <v>10</v>
      </c>
      <c r="F30" s="68">
        <v>5</v>
      </c>
      <c r="G30" s="68">
        <v>6</v>
      </c>
      <c r="H30" s="68">
        <v>0</v>
      </c>
      <c r="I30" s="68">
        <v>7</v>
      </c>
      <c r="J30" s="68">
        <v>3</v>
      </c>
      <c r="K30" s="68">
        <v>3</v>
      </c>
      <c r="L30" s="68">
        <v>1</v>
      </c>
      <c r="M30" s="68">
        <v>0</v>
      </c>
    </row>
    <row r="31" spans="1:13" ht="15.75" customHeight="1">
      <c r="A31" s="75" t="s">
        <v>387</v>
      </c>
      <c r="B31" s="262">
        <v>201</v>
      </c>
      <c r="C31" s="68">
        <v>33</v>
      </c>
      <c r="D31" s="68">
        <v>25</v>
      </c>
      <c r="E31" s="68">
        <v>25</v>
      </c>
      <c r="F31" s="68">
        <v>17</v>
      </c>
      <c r="G31" s="68">
        <v>27</v>
      </c>
      <c r="H31" s="68">
        <v>3</v>
      </c>
      <c r="I31" s="68">
        <v>24</v>
      </c>
      <c r="J31" s="68">
        <v>19</v>
      </c>
      <c r="K31" s="68">
        <v>8</v>
      </c>
      <c r="L31" s="68">
        <v>15</v>
      </c>
      <c r="M31" s="68">
        <v>5</v>
      </c>
    </row>
    <row r="32" spans="1:13" ht="15.75" customHeight="1">
      <c r="A32" s="75" t="s">
        <v>388</v>
      </c>
      <c r="B32" s="262">
        <v>1105</v>
      </c>
      <c r="C32" s="68">
        <v>173</v>
      </c>
      <c r="D32" s="68">
        <v>147</v>
      </c>
      <c r="E32" s="68">
        <v>149</v>
      </c>
      <c r="F32" s="68">
        <v>105</v>
      </c>
      <c r="G32" s="68">
        <v>140</v>
      </c>
      <c r="H32" s="68">
        <v>5</v>
      </c>
      <c r="I32" s="68">
        <v>97</v>
      </c>
      <c r="J32" s="68">
        <v>113</v>
      </c>
      <c r="K32" s="68">
        <v>73</v>
      </c>
      <c r="L32" s="68">
        <v>73</v>
      </c>
      <c r="M32" s="68">
        <v>30</v>
      </c>
    </row>
    <row r="33" spans="1:13" ht="15.75" customHeight="1">
      <c r="A33" s="75" t="s">
        <v>389</v>
      </c>
      <c r="B33" s="262">
        <v>75</v>
      </c>
      <c r="C33" s="68">
        <v>17</v>
      </c>
      <c r="D33" s="68">
        <v>11</v>
      </c>
      <c r="E33" s="68">
        <v>12</v>
      </c>
      <c r="F33" s="68">
        <v>5</v>
      </c>
      <c r="G33" s="68">
        <v>11</v>
      </c>
      <c r="H33" s="68">
        <v>0</v>
      </c>
      <c r="I33" s="68">
        <v>6</v>
      </c>
      <c r="J33" s="68">
        <v>4</v>
      </c>
      <c r="K33" s="68">
        <v>2</v>
      </c>
      <c r="L33" s="68">
        <v>5</v>
      </c>
      <c r="M33" s="68">
        <v>2</v>
      </c>
    </row>
    <row r="34" spans="1:13" ht="15.75" customHeight="1">
      <c r="A34" s="75" t="s">
        <v>390</v>
      </c>
      <c r="B34" s="262">
        <v>1088</v>
      </c>
      <c r="C34" s="68">
        <v>198</v>
      </c>
      <c r="D34" s="68">
        <v>148</v>
      </c>
      <c r="E34" s="68">
        <v>129</v>
      </c>
      <c r="F34" s="68">
        <v>92</v>
      </c>
      <c r="G34" s="68">
        <v>165</v>
      </c>
      <c r="H34" s="68">
        <v>9</v>
      </c>
      <c r="I34" s="68">
        <v>99</v>
      </c>
      <c r="J34" s="68">
        <v>106</v>
      </c>
      <c r="K34" s="68">
        <v>41</v>
      </c>
      <c r="L34" s="68">
        <v>78</v>
      </c>
      <c r="M34" s="68">
        <v>23</v>
      </c>
    </row>
    <row r="35" spans="1:13" ht="15.75" customHeight="1">
      <c r="A35" s="75" t="s">
        <v>391</v>
      </c>
      <c r="B35" s="262">
        <v>181</v>
      </c>
      <c r="C35" s="68">
        <v>39</v>
      </c>
      <c r="D35" s="68">
        <v>24</v>
      </c>
      <c r="E35" s="68">
        <v>12</v>
      </c>
      <c r="F35" s="68">
        <v>7</v>
      </c>
      <c r="G35" s="68">
        <v>32</v>
      </c>
      <c r="H35" s="68">
        <v>3</v>
      </c>
      <c r="I35" s="68">
        <v>22</v>
      </c>
      <c r="J35" s="68">
        <v>13</v>
      </c>
      <c r="K35" s="68">
        <v>6</v>
      </c>
      <c r="L35" s="68">
        <v>15</v>
      </c>
      <c r="M35" s="68">
        <v>8</v>
      </c>
    </row>
    <row r="36" spans="1:13" ht="15.75" customHeight="1">
      <c r="A36" s="75" t="s">
        <v>392</v>
      </c>
      <c r="B36" s="262">
        <v>358</v>
      </c>
      <c r="C36" s="68">
        <v>52</v>
      </c>
      <c r="D36" s="68">
        <v>54</v>
      </c>
      <c r="E36" s="68">
        <v>43</v>
      </c>
      <c r="F36" s="68">
        <v>33</v>
      </c>
      <c r="G36" s="68">
        <v>54</v>
      </c>
      <c r="H36" s="68">
        <v>7</v>
      </c>
      <c r="I36" s="68">
        <v>37</v>
      </c>
      <c r="J36" s="68">
        <v>40</v>
      </c>
      <c r="K36" s="68">
        <v>10</v>
      </c>
      <c r="L36" s="68">
        <v>19</v>
      </c>
      <c r="M36" s="68">
        <v>9</v>
      </c>
    </row>
    <row r="37" spans="1:13" ht="15.75" customHeight="1">
      <c r="A37" s="75" t="s">
        <v>393</v>
      </c>
      <c r="B37" s="262">
        <v>149</v>
      </c>
      <c r="C37" s="68">
        <v>26</v>
      </c>
      <c r="D37" s="68">
        <v>23</v>
      </c>
      <c r="E37" s="68">
        <v>12</v>
      </c>
      <c r="F37" s="68">
        <v>9</v>
      </c>
      <c r="G37" s="68">
        <v>34</v>
      </c>
      <c r="H37" s="68">
        <v>4</v>
      </c>
      <c r="I37" s="68">
        <v>16</v>
      </c>
      <c r="J37" s="68">
        <v>11</v>
      </c>
      <c r="K37" s="68">
        <v>5</v>
      </c>
      <c r="L37" s="68">
        <v>6</v>
      </c>
      <c r="M37" s="68">
        <v>3</v>
      </c>
    </row>
    <row r="38" spans="1:13" ht="15.75" customHeight="1">
      <c r="A38" s="75" t="s">
        <v>394</v>
      </c>
      <c r="B38" s="262">
        <v>458</v>
      </c>
      <c r="C38" s="68">
        <v>60</v>
      </c>
      <c r="D38" s="68">
        <v>60</v>
      </c>
      <c r="E38" s="68">
        <v>42</v>
      </c>
      <c r="F38" s="68">
        <v>35</v>
      </c>
      <c r="G38" s="68">
        <v>65</v>
      </c>
      <c r="H38" s="68">
        <v>7</v>
      </c>
      <c r="I38" s="68">
        <v>79</v>
      </c>
      <c r="J38" s="68">
        <v>60</v>
      </c>
      <c r="K38" s="68">
        <v>18</v>
      </c>
      <c r="L38" s="68">
        <v>24</v>
      </c>
      <c r="M38" s="68">
        <v>8</v>
      </c>
    </row>
    <row r="39" spans="1:13" ht="15.75" customHeight="1">
      <c r="A39" s="75" t="s">
        <v>395</v>
      </c>
      <c r="B39" s="262">
        <v>1257</v>
      </c>
      <c r="C39" s="68">
        <v>131</v>
      </c>
      <c r="D39" s="68">
        <v>162</v>
      </c>
      <c r="E39" s="68">
        <v>165</v>
      </c>
      <c r="F39" s="68">
        <v>147</v>
      </c>
      <c r="G39" s="68">
        <v>192</v>
      </c>
      <c r="H39" s="68">
        <v>15</v>
      </c>
      <c r="I39" s="68">
        <v>138</v>
      </c>
      <c r="J39" s="68">
        <v>131</v>
      </c>
      <c r="K39" s="68">
        <v>47</v>
      </c>
      <c r="L39" s="68">
        <v>91</v>
      </c>
      <c r="M39" s="68">
        <v>38</v>
      </c>
    </row>
    <row r="40" spans="1:13" ht="15.75" customHeight="1">
      <c r="A40" s="75" t="s">
        <v>396</v>
      </c>
      <c r="B40" s="262">
        <v>627</v>
      </c>
      <c r="C40" s="68">
        <v>76</v>
      </c>
      <c r="D40" s="68">
        <v>65</v>
      </c>
      <c r="E40" s="68">
        <v>77</v>
      </c>
      <c r="F40" s="68">
        <v>38</v>
      </c>
      <c r="G40" s="68">
        <v>97</v>
      </c>
      <c r="H40" s="68">
        <v>11</v>
      </c>
      <c r="I40" s="68">
        <v>70</v>
      </c>
      <c r="J40" s="68">
        <v>73</v>
      </c>
      <c r="K40" s="68">
        <v>39</v>
      </c>
      <c r="L40" s="68">
        <v>46</v>
      </c>
      <c r="M40" s="68">
        <v>35</v>
      </c>
    </row>
    <row r="41" spans="1:13" ht="15.75" customHeight="1">
      <c r="A41" s="75" t="s">
        <v>397</v>
      </c>
      <c r="B41" s="262">
        <v>525</v>
      </c>
      <c r="C41" s="68">
        <v>62</v>
      </c>
      <c r="D41" s="68">
        <v>72</v>
      </c>
      <c r="E41" s="68">
        <v>80</v>
      </c>
      <c r="F41" s="68">
        <v>37</v>
      </c>
      <c r="G41" s="68">
        <v>73</v>
      </c>
      <c r="H41" s="68">
        <v>10</v>
      </c>
      <c r="I41" s="68">
        <v>63</v>
      </c>
      <c r="J41" s="68">
        <v>52</v>
      </c>
      <c r="K41" s="68">
        <v>25</v>
      </c>
      <c r="L41" s="68">
        <v>31</v>
      </c>
      <c r="M41" s="68">
        <v>20</v>
      </c>
    </row>
    <row r="42" spans="1:13" ht="15.75" customHeight="1">
      <c r="A42" s="75" t="s">
        <v>398</v>
      </c>
      <c r="B42" s="262">
        <v>655</v>
      </c>
      <c r="C42" s="68">
        <v>66</v>
      </c>
      <c r="D42" s="68">
        <v>91</v>
      </c>
      <c r="E42" s="68">
        <v>85</v>
      </c>
      <c r="F42" s="68">
        <v>41</v>
      </c>
      <c r="G42" s="68">
        <v>103</v>
      </c>
      <c r="H42" s="68">
        <v>8</v>
      </c>
      <c r="I42" s="68">
        <v>82</v>
      </c>
      <c r="J42" s="68">
        <v>85</v>
      </c>
      <c r="K42" s="68">
        <v>25</v>
      </c>
      <c r="L42" s="68">
        <v>43</v>
      </c>
      <c r="M42" s="68">
        <v>26</v>
      </c>
    </row>
    <row r="43" spans="1:13" ht="15.75" customHeight="1">
      <c r="A43" s="75" t="s">
        <v>399</v>
      </c>
      <c r="B43" s="262">
        <v>224</v>
      </c>
      <c r="C43" s="68">
        <v>33</v>
      </c>
      <c r="D43" s="68">
        <v>27</v>
      </c>
      <c r="E43" s="68">
        <v>26</v>
      </c>
      <c r="F43" s="68">
        <v>18</v>
      </c>
      <c r="G43" s="68">
        <v>43</v>
      </c>
      <c r="H43" s="68">
        <v>6</v>
      </c>
      <c r="I43" s="68">
        <v>17</v>
      </c>
      <c r="J43" s="68">
        <v>22</v>
      </c>
      <c r="K43" s="68">
        <v>10</v>
      </c>
      <c r="L43" s="68">
        <v>14</v>
      </c>
      <c r="M43" s="68">
        <v>8</v>
      </c>
    </row>
    <row r="44" spans="1:13" ht="15.75" customHeight="1">
      <c r="A44" s="75" t="s">
        <v>400</v>
      </c>
      <c r="B44" s="262">
        <v>318</v>
      </c>
      <c r="C44" s="68">
        <v>40</v>
      </c>
      <c r="D44" s="68">
        <v>45</v>
      </c>
      <c r="E44" s="68">
        <v>49</v>
      </c>
      <c r="F44" s="68">
        <v>26</v>
      </c>
      <c r="G44" s="68">
        <v>45</v>
      </c>
      <c r="H44" s="68">
        <v>6</v>
      </c>
      <c r="I44" s="68">
        <v>32</v>
      </c>
      <c r="J44" s="68">
        <v>22</v>
      </c>
      <c r="K44" s="68">
        <v>23</v>
      </c>
      <c r="L44" s="68">
        <v>16</v>
      </c>
      <c r="M44" s="68">
        <v>14</v>
      </c>
    </row>
    <row r="45" spans="1:13" ht="15.75" customHeight="1">
      <c r="A45" s="75" t="s">
        <v>401</v>
      </c>
      <c r="B45" s="262">
        <v>77</v>
      </c>
      <c r="C45" s="68">
        <v>11</v>
      </c>
      <c r="D45" s="68">
        <v>9</v>
      </c>
      <c r="E45" s="68">
        <v>14</v>
      </c>
      <c r="F45" s="68">
        <v>5</v>
      </c>
      <c r="G45" s="68">
        <v>11</v>
      </c>
      <c r="H45" s="68">
        <v>1</v>
      </c>
      <c r="I45" s="68">
        <v>10</v>
      </c>
      <c r="J45" s="68">
        <v>5</v>
      </c>
      <c r="K45" s="68">
        <v>3</v>
      </c>
      <c r="L45" s="68">
        <v>4</v>
      </c>
      <c r="M45" s="68">
        <v>4</v>
      </c>
    </row>
    <row r="46" spans="1:13" ht="15.75" customHeight="1">
      <c r="A46" s="75" t="s">
        <v>402</v>
      </c>
      <c r="B46" s="262">
        <v>18</v>
      </c>
      <c r="C46" s="68">
        <v>3</v>
      </c>
      <c r="D46" s="68">
        <v>1</v>
      </c>
      <c r="E46" s="68">
        <v>1</v>
      </c>
      <c r="F46" s="68">
        <v>0</v>
      </c>
      <c r="G46" s="68">
        <v>6</v>
      </c>
      <c r="H46" s="68">
        <v>1</v>
      </c>
      <c r="I46" s="68">
        <v>3</v>
      </c>
      <c r="J46" s="68">
        <v>3</v>
      </c>
      <c r="K46" s="68">
        <v>0</v>
      </c>
      <c r="L46" s="68">
        <v>0</v>
      </c>
      <c r="M46" s="68">
        <v>0</v>
      </c>
    </row>
    <row r="47" spans="1:13" ht="15.75" customHeight="1">
      <c r="A47" s="79" t="s">
        <v>403</v>
      </c>
      <c r="B47" s="261">
        <v>292</v>
      </c>
      <c r="C47" s="98">
        <v>44</v>
      </c>
      <c r="D47" s="98">
        <v>31</v>
      </c>
      <c r="E47" s="98">
        <v>35</v>
      </c>
      <c r="F47" s="98">
        <v>13</v>
      </c>
      <c r="G47" s="98">
        <v>46</v>
      </c>
      <c r="H47" s="98">
        <v>1</v>
      </c>
      <c r="I47" s="98">
        <v>46</v>
      </c>
      <c r="J47" s="98">
        <v>47</v>
      </c>
      <c r="K47" s="98">
        <v>15</v>
      </c>
      <c r="L47" s="98">
        <v>7</v>
      </c>
      <c r="M47" s="98">
        <v>7</v>
      </c>
    </row>
    <row r="48" spans="1:13" ht="15.75" customHeight="1">
      <c r="A48" s="79" t="s">
        <v>404</v>
      </c>
      <c r="B48" s="261">
        <v>1222</v>
      </c>
      <c r="C48" s="98">
        <v>150</v>
      </c>
      <c r="D48" s="98">
        <v>153</v>
      </c>
      <c r="E48" s="98">
        <v>197</v>
      </c>
      <c r="F48" s="98">
        <v>100</v>
      </c>
      <c r="G48" s="98">
        <v>161</v>
      </c>
      <c r="H48" s="98">
        <v>16</v>
      </c>
      <c r="I48" s="98">
        <v>131</v>
      </c>
      <c r="J48" s="98">
        <v>133</v>
      </c>
      <c r="K48" s="98">
        <v>61</v>
      </c>
      <c r="L48" s="98">
        <v>82</v>
      </c>
      <c r="M48" s="98">
        <v>38</v>
      </c>
    </row>
    <row r="49" spans="1:13" ht="15.75" customHeight="1">
      <c r="A49" s="79" t="s">
        <v>405</v>
      </c>
      <c r="B49" s="261">
        <v>6360</v>
      </c>
      <c r="C49" s="98">
        <v>670</v>
      </c>
      <c r="D49" s="98">
        <v>808</v>
      </c>
      <c r="E49" s="98">
        <v>916</v>
      </c>
      <c r="F49" s="98">
        <v>429</v>
      </c>
      <c r="G49" s="98">
        <v>886</v>
      </c>
      <c r="H49" s="98">
        <v>106</v>
      </c>
      <c r="I49" s="98">
        <v>780</v>
      </c>
      <c r="J49" s="98">
        <v>682</v>
      </c>
      <c r="K49" s="98">
        <v>320</v>
      </c>
      <c r="L49" s="98">
        <v>519</v>
      </c>
      <c r="M49" s="98">
        <v>244</v>
      </c>
    </row>
    <row r="50" spans="1:13" ht="15.75" customHeight="1" thickBot="1">
      <c r="A50" s="145" t="s">
        <v>406</v>
      </c>
      <c r="B50" s="266">
        <v>5292</v>
      </c>
      <c r="C50" s="99">
        <v>819</v>
      </c>
      <c r="D50" s="99">
        <v>652</v>
      </c>
      <c r="E50" s="99">
        <v>672</v>
      </c>
      <c r="F50" s="99">
        <v>451</v>
      </c>
      <c r="G50" s="99">
        <v>915</v>
      </c>
      <c r="H50" s="99">
        <v>69</v>
      </c>
      <c r="I50" s="99">
        <v>584</v>
      </c>
      <c r="J50" s="99">
        <v>502</v>
      </c>
      <c r="K50" s="99">
        <v>178</v>
      </c>
      <c r="L50" s="99">
        <v>297</v>
      </c>
      <c r="M50" s="99">
        <v>153</v>
      </c>
    </row>
    <row r="51" spans="1:13" ht="15.75" customHeight="1">
      <c r="A51" s="391" t="s">
        <v>635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</sheetData>
  <sheetProtection/>
  <mergeCells count="5">
    <mergeCell ref="A1:M1"/>
    <mergeCell ref="A2:M2"/>
    <mergeCell ref="A3:M3"/>
    <mergeCell ref="C4:M4"/>
    <mergeCell ref="A51:M51"/>
  </mergeCells>
  <printOptions/>
  <pageMargins left="0.7" right="0.7" top="0.787401575" bottom="0.7874015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="85" zoomScaleNormal="85" zoomScalePageLayoutView="0" workbookViewId="0" topLeftCell="A1">
      <selection activeCell="Q25" sqref="Q25"/>
    </sheetView>
  </sheetViews>
  <sheetFormatPr defaultColWidth="11.421875" defaultRowHeight="12.75"/>
  <cols>
    <col min="1" max="1" width="54.7109375" style="77" customWidth="1"/>
    <col min="2" max="2" width="8.8515625" style="77" bestFit="1" customWidth="1"/>
    <col min="3" max="3" width="8.28125" style="77" bestFit="1" customWidth="1"/>
    <col min="4" max="4" width="9.421875" style="77" bestFit="1" customWidth="1"/>
    <col min="5" max="5" width="9.57421875" style="77" bestFit="1" customWidth="1"/>
    <col min="6" max="6" width="14.421875" style="77" bestFit="1" customWidth="1"/>
    <col min="7" max="7" width="9.57421875" style="77" bestFit="1" customWidth="1"/>
    <col min="8" max="8" width="10.140625" style="77" bestFit="1" customWidth="1"/>
    <col min="9" max="9" width="9.57421875" style="77" bestFit="1" customWidth="1"/>
    <col min="10" max="10" width="9.421875" style="77" bestFit="1" customWidth="1"/>
    <col min="11" max="11" width="10.57421875" style="77" bestFit="1" customWidth="1"/>
    <col min="12" max="12" width="9.7109375" style="77" bestFit="1" customWidth="1"/>
    <col min="13" max="13" width="15.7109375" style="77" bestFit="1" customWidth="1"/>
    <col min="14" max="16384" width="11.421875" style="77" customWidth="1"/>
  </cols>
  <sheetData>
    <row r="1" spans="1:13" ht="18" customHeight="1">
      <c r="A1" s="412" t="s">
        <v>418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5.7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5.75" customHeight="1" thickBot="1">
      <c r="A3" s="414" t="s">
        <v>449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80"/>
      <c r="B4" s="34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80"/>
      <c r="B5" s="342"/>
      <c r="C5" s="343" t="s">
        <v>123</v>
      </c>
      <c r="D5" s="343" t="s">
        <v>124</v>
      </c>
      <c r="E5" s="343" t="s">
        <v>125</v>
      </c>
      <c r="F5" s="343" t="s">
        <v>126</v>
      </c>
      <c r="G5" s="343" t="s">
        <v>127</v>
      </c>
      <c r="H5" s="343" t="s">
        <v>128</v>
      </c>
      <c r="I5" s="343" t="s">
        <v>129</v>
      </c>
      <c r="J5" s="343" t="s">
        <v>130</v>
      </c>
      <c r="K5" s="343" t="s">
        <v>131</v>
      </c>
      <c r="L5" s="343" t="s">
        <v>132</v>
      </c>
      <c r="M5" s="343" t="s">
        <v>133</v>
      </c>
    </row>
    <row r="6" spans="1:13" ht="15.75" customHeight="1">
      <c r="A6" s="79" t="s">
        <v>134</v>
      </c>
      <c r="B6" s="261">
        <v>11221</v>
      </c>
      <c r="C6" s="98">
        <v>1453</v>
      </c>
      <c r="D6" s="98">
        <v>1519</v>
      </c>
      <c r="E6" s="98">
        <v>1391</v>
      </c>
      <c r="F6" s="98">
        <v>1020</v>
      </c>
      <c r="G6" s="98">
        <v>1585</v>
      </c>
      <c r="H6" s="98">
        <v>145</v>
      </c>
      <c r="I6" s="98">
        <v>1273</v>
      </c>
      <c r="J6" s="98">
        <v>1219</v>
      </c>
      <c r="K6" s="98">
        <v>519</v>
      </c>
      <c r="L6" s="98">
        <v>738</v>
      </c>
      <c r="M6" s="98">
        <v>359</v>
      </c>
    </row>
    <row r="7" spans="1:13" ht="15.75" customHeight="1">
      <c r="A7" s="79" t="s">
        <v>364</v>
      </c>
      <c r="B7" s="261">
        <v>147</v>
      </c>
      <c r="C7" s="98">
        <v>11</v>
      </c>
      <c r="D7" s="98">
        <v>13</v>
      </c>
      <c r="E7" s="98">
        <v>26</v>
      </c>
      <c r="F7" s="98">
        <v>14</v>
      </c>
      <c r="G7" s="98">
        <v>14</v>
      </c>
      <c r="H7" s="98">
        <v>3</v>
      </c>
      <c r="I7" s="98">
        <v>20</v>
      </c>
      <c r="J7" s="98">
        <v>16</v>
      </c>
      <c r="K7" s="98">
        <v>10</v>
      </c>
      <c r="L7" s="98">
        <v>12</v>
      </c>
      <c r="M7" s="98">
        <v>8</v>
      </c>
    </row>
    <row r="8" spans="1:13" ht="15.75" customHeight="1">
      <c r="A8" s="75" t="s">
        <v>365</v>
      </c>
      <c r="B8" s="262">
        <v>147</v>
      </c>
      <c r="C8" s="68">
        <v>11</v>
      </c>
      <c r="D8" s="68">
        <v>13</v>
      </c>
      <c r="E8" s="68">
        <v>26</v>
      </c>
      <c r="F8" s="68">
        <v>14</v>
      </c>
      <c r="G8" s="68">
        <v>14</v>
      </c>
      <c r="H8" s="68">
        <v>3</v>
      </c>
      <c r="I8" s="68">
        <v>20</v>
      </c>
      <c r="J8" s="68">
        <v>16</v>
      </c>
      <c r="K8" s="68">
        <v>10</v>
      </c>
      <c r="L8" s="68">
        <v>12</v>
      </c>
      <c r="M8" s="68">
        <v>8</v>
      </c>
    </row>
    <row r="9" spans="1:13" ht="15.75" customHeight="1">
      <c r="A9" s="79" t="s">
        <v>366</v>
      </c>
      <c r="B9" s="261">
        <v>2714</v>
      </c>
      <c r="C9" s="98">
        <v>279</v>
      </c>
      <c r="D9" s="98">
        <v>362</v>
      </c>
      <c r="E9" s="98">
        <v>361</v>
      </c>
      <c r="F9" s="98">
        <v>256</v>
      </c>
      <c r="G9" s="98">
        <v>354</v>
      </c>
      <c r="H9" s="98">
        <v>39</v>
      </c>
      <c r="I9" s="98">
        <v>320</v>
      </c>
      <c r="J9" s="98">
        <v>325</v>
      </c>
      <c r="K9" s="98">
        <v>141</v>
      </c>
      <c r="L9" s="98">
        <v>178</v>
      </c>
      <c r="M9" s="98">
        <v>99</v>
      </c>
    </row>
    <row r="10" spans="1:13" ht="15.75" customHeight="1">
      <c r="A10" s="75" t="s">
        <v>367</v>
      </c>
      <c r="B10" s="262">
        <v>18</v>
      </c>
      <c r="C10" s="68">
        <v>1</v>
      </c>
      <c r="D10" s="68">
        <v>3</v>
      </c>
      <c r="E10" s="68">
        <v>6</v>
      </c>
      <c r="F10" s="68">
        <v>2</v>
      </c>
      <c r="G10" s="68">
        <v>0</v>
      </c>
      <c r="H10" s="68">
        <v>0</v>
      </c>
      <c r="I10" s="68">
        <v>1</v>
      </c>
      <c r="J10" s="68">
        <v>1</v>
      </c>
      <c r="K10" s="68">
        <v>0</v>
      </c>
      <c r="L10" s="68">
        <v>4</v>
      </c>
      <c r="M10" s="68">
        <v>0</v>
      </c>
    </row>
    <row r="11" spans="1:13" ht="15.75" customHeight="1">
      <c r="A11" s="75" t="s">
        <v>368</v>
      </c>
      <c r="B11" s="262">
        <v>128</v>
      </c>
      <c r="C11" s="68">
        <v>21</v>
      </c>
      <c r="D11" s="68">
        <v>22</v>
      </c>
      <c r="E11" s="68">
        <v>12</v>
      </c>
      <c r="F11" s="68">
        <v>5</v>
      </c>
      <c r="G11" s="68">
        <v>15</v>
      </c>
      <c r="H11" s="68">
        <v>0</v>
      </c>
      <c r="I11" s="68">
        <v>20</v>
      </c>
      <c r="J11" s="68">
        <v>14</v>
      </c>
      <c r="K11" s="68">
        <v>5</v>
      </c>
      <c r="L11" s="68">
        <v>8</v>
      </c>
      <c r="M11" s="68">
        <v>6</v>
      </c>
    </row>
    <row r="12" spans="1:13" ht="15.75" customHeight="1">
      <c r="A12" s="75" t="s">
        <v>369</v>
      </c>
      <c r="B12" s="262">
        <v>32</v>
      </c>
      <c r="C12" s="68">
        <v>6</v>
      </c>
      <c r="D12" s="68">
        <v>5</v>
      </c>
      <c r="E12" s="68">
        <v>1</v>
      </c>
      <c r="F12" s="68">
        <v>2</v>
      </c>
      <c r="G12" s="68">
        <v>6</v>
      </c>
      <c r="H12" s="68">
        <v>1</v>
      </c>
      <c r="I12" s="68">
        <v>2</v>
      </c>
      <c r="J12" s="68">
        <v>4</v>
      </c>
      <c r="K12" s="68">
        <v>3</v>
      </c>
      <c r="L12" s="68">
        <v>2</v>
      </c>
      <c r="M12" s="68">
        <v>0</v>
      </c>
    </row>
    <row r="13" spans="1:13" ht="15.75" customHeight="1">
      <c r="A13" s="75" t="s">
        <v>370</v>
      </c>
      <c r="B13" s="262">
        <v>174</v>
      </c>
      <c r="C13" s="68">
        <v>34</v>
      </c>
      <c r="D13" s="68">
        <v>17</v>
      </c>
      <c r="E13" s="68">
        <v>20</v>
      </c>
      <c r="F13" s="68">
        <v>18</v>
      </c>
      <c r="G13" s="68">
        <v>27</v>
      </c>
      <c r="H13" s="68">
        <v>2</v>
      </c>
      <c r="I13" s="68">
        <v>16</v>
      </c>
      <c r="J13" s="68">
        <v>15</v>
      </c>
      <c r="K13" s="68">
        <v>11</v>
      </c>
      <c r="L13" s="68">
        <v>11</v>
      </c>
      <c r="M13" s="68">
        <v>3</v>
      </c>
    </row>
    <row r="14" spans="1:13" ht="15.75" customHeight="1">
      <c r="A14" s="75" t="s">
        <v>371</v>
      </c>
      <c r="B14" s="262">
        <v>15</v>
      </c>
      <c r="C14" s="68">
        <v>1</v>
      </c>
      <c r="D14" s="68">
        <v>0</v>
      </c>
      <c r="E14" s="68">
        <v>2</v>
      </c>
      <c r="F14" s="68">
        <v>0</v>
      </c>
      <c r="G14" s="68">
        <v>1</v>
      </c>
      <c r="H14" s="68">
        <v>0</v>
      </c>
      <c r="I14" s="68">
        <v>2</v>
      </c>
      <c r="J14" s="68">
        <v>6</v>
      </c>
      <c r="K14" s="68">
        <v>2</v>
      </c>
      <c r="L14" s="68">
        <v>1</v>
      </c>
      <c r="M14" s="68">
        <v>0</v>
      </c>
    </row>
    <row r="15" spans="1:13" ht="15.75" customHeight="1">
      <c r="A15" s="75" t="s">
        <v>372</v>
      </c>
      <c r="B15" s="262">
        <v>89</v>
      </c>
      <c r="C15" s="68">
        <v>12</v>
      </c>
      <c r="D15" s="68">
        <v>33</v>
      </c>
      <c r="E15" s="68">
        <v>8</v>
      </c>
      <c r="F15" s="68">
        <v>4</v>
      </c>
      <c r="G15" s="68">
        <v>4</v>
      </c>
      <c r="H15" s="68">
        <v>2</v>
      </c>
      <c r="I15" s="68">
        <v>7</v>
      </c>
      <c r="J15" s="68">
        <v>7</v>
      </c>
      <c r="K15" s="68">
        <v>6</v>
      </c>
      <c r="L15" s="68">
        <v>3</v>
      </c>
      <c r="M15" s="68">
        <v>3</v>
      </c>
    </row>
    <row r="16" spans="1:13" ht="15.75" customHeight="1">
      <c r="A16" s="75" t="s">
        <v>373</v>
      </c>
      <c r="B16" s="262">
        <v>320</v>
      </c>
      <c r="C16" s="68">
        <v>33</v>
      </c>
      <c r="D16" s="68">
        <v>54</v>
      </c>
      <c r="E16" s="68">
        <v>56</v>
      </c>
      <c r="F16" s="68">
        <v>22</v>
      </c>
      <c r="G16" s="68">
        <v>42</v>
      </c>
      <c r="H16" s="68">
        <v>1</v>
      </c>
      <c r="I16" s="68">
        <v>24</v>
      </c>
      <c r="J16" s="68">
        <v>36</v>
      </c>
      <c r="K16" s="68">
        <v>12</v>
      </c>
      <c r="L16" s="68">
        <v>26</v>
      </c>
      <c r="M16" s="68">
        <v>14</v>
      </c>
    </row>
    <row r="17" spans="1:13" ht="15.75" customHeight="1">
      <c r="A17" s="75" t="s">
        <v>374</v>
      </c>
      <c r="B17" s="262">
        <v>133</v>
      </c>
      <c r="C17" s="68">
        <v>16</v>
      </c>
      <c r="D17" s="68">
        <v>21</v>
      </c>
      <c r="E17" s="68">
        <v>28</v>
      </c>
      <c r="F17" s="68">
        <v>10</v>
      </c>
      <c r="G17" s="68">
        <v>14</v>
      </c>
      <c r="H17" s="68">
        <v>2</v>
      </c>
      <c r="I17" s="68">
        <v>12</v>
      </c>
      <c r="J17" s="68">
        <v>18</v>
      </c>
      <c r="K17" s="68">
        <v>4</v>
      </c>
      <c r="L17" s="68">
        <v>8</v>
      </c>
      <c r="M17" s="68">
        <v>0</v>
      </c>
    </row>
    <row r="18" spans="1:13" ht="15.75" customHeight="1">
      <c r="A18" s="75" t="s">
        <v>375</v>
      </c>
      <c r="B18" s="262">
        <v>61</v>
      </c>
      <c r="C18" s="68">
        <v>9</v>
      </c>
      <c r="D18" s="68">
        <v>8</v>
      </c>
      <c r="E18" s="68">
        <v>8</v>
      </c>
      <c r="F18" s="68">
        <v>4</v>
      </c>
      <c r="G18" s="68">
        <v>10</v>
      </c>
      <c r="H18" s="68">
        <v>0</v>
      </c>
      <c r="I18" s="68">
        <v>9</v>
      </c>
      <c r="J18" s="68">
        <v>6</v>
      </c>
      <c r="K18" s="68">
        <v>5</v>
      </c>
      <c r="L18" s="68">
        <v>2</v>
      </c>
      <c r="M18" s="68">
        <v>0</v>
      </c>
    </row>
    <row r="19" spans="1:13" ht="15.75" customHeight="1">
      <c r="A19" s="75" t="s">
        <v>376</v>
      </c>
      <c r="B19" s="262">
        <v>359</v>
      </c>
      <c r="C19" s="68">
        <v>26</v>
      </c>
      <c r="D19" s="68">
        <v>36</v>
      </c>
      <c r="E19" s="68">
        <v>62</v>
      </c>
      <c r="F19" s="68">
        <v>33</v>
      </c>
      <c r="G19" s="68">
        <v>49</v>
      </c>
      <c r="H19" s="68">
        <v>7</v>
      </c>
      <c r="I19" s="68">
        <v>51</v>
      </c>
      <c r="J19" s="68">
        <v>49</v>
      </c>
      <c r="K19" s="68">
        <v>15</v>
      </c>
      <c r="L19" s="68">
        <v>14</v>
      </c>
      <c r="M19" s="68">
        <v>17</v>
      </c>
    </row>
    <row r="20" spans="1:13" ht="15.75" customHeight="1">
      <c r="A20" s="75" t="s">
        <v>377</v>
      </c>
      <c r="B20" s="262">
        <v>215</v>
      </c>
      <c r="C20" s="68">
        <v>13</v>
      </c>
      <c r="D20" s="68">
        <v>18</v>
      </c>
      <c r="E20" s="68">
        <v>9</v>
      </c>
      <c r="F20" s="68">
        <v>10</v>
      </c>
      <c r="G20" s="68">
        <v>28</v>
      </c>
      <c r="H20" s="68">
        <v>4</v>
      </c>
      <c r="I20" s="68">
        <v>50</v>
      </c>
      <c r="J20" s="68">
        <v>40</v>
      </c>
      <c r="K20" s="68">
        <v>14</v>
      </c>
      <c r="L20" s="68">
        <v>13</v>
      </c>
      <c r="M20" s="68">
        <v>16</v>
      </c>
    </row>
    <row r="21" spans="1:13" ht="15.75" customHeight="1">
      <c r="A21" s="75" t="s">
        <v>378</v>
      </c>
      <c r="B21" s="262">
        <v>225</v>
      </c>
      <c r="C21" s="68">
        <v>26</v>
      </c>
      <c r="D21" s="68">
        <v>21</v>
      </c>
      <c r="E21" s="68">
        <v>22</v>
      </c>
      <c r="F21" s="68">
        <v>21</v>
      </c>
      <c r="G21" s="68">
        <v>38</v>
      </c>
      <c r="H21" s="68">
        <v>5</v>
      </c>
      <c r="I21" s="68">
        <v>19</v>
      </c>
      <c r="J21" s="68">
        <v>35</v>
      </c>
      <c r="K21" s="68">
        <v>15</v>
      </c>
      <c r="L21" s="68">
        <v>12</v>
      </c>
      <c r="M21" s="68">
        <v>11</v>
      </c>
    </row>
    <row r="22" spans="1:13" ht="15.75" customHeight="1">
      <c r="A22" s="75" t="s">
        <v>379</v>
      </c>
      <c r="B22" s="262">
        <v>145</v>
      </c>
      <c r="C22" s="68">
        <v>8</v>
      </c>
      <c r="D22" s="68">
        <v>18</v>
      </c>
      <c r="E22" s="68">
        <v>13</v>
      </c>
      <c r="F22" s="68">
        <v>17</v>
      </c>
      <c r="G22" s="68">
        <v>18</v>
      </c>
      <c r="H22" s="68">
        <v>4</v>
      </c>
      <c r="I22" s="68">
        <v>19</v>
      </c>
      <c r="J22" s="68">
        <v>19</v>
      </c>
      <c r="K22" s="68">
        <v>10</v>
      </c>
      <c r="L22" s="68">
        <v>15</v>
      </c>
      <c r="M22" s="68">
        <v>4</v>
      </c>
    </row>
    <row r="23" spans="1:13" ht="15.75" customHeight="1">
      <c r="A23" s="75" t="s">
        <v>380</v>
      </c>
      <c r="B23" s="262">
        <v>800</v>
      </c>
      <c r="C23" s="68">
        <v>73</v>
      </c>
      <c r="D23" s="68">
        <v>106</v>
      </c>
      <c r="E23" s="68">
        <v>114</v>
      </c>
      <c r="F23" s="68">
        <v>108</v>
      </c>
      <c r="G23" s="68">
        <v>102</v>
      </c>
      <c r="H23" s="68">
        <v>11</v>
      </c>
      <c r="I23" s="68">
        <v>88</v>
      </c>
      <c r="J23" s="68">
        <v>75</v>
      </c>
      <c r="K23" s="68">
        <v>39</v>
      </c>
      <c r="L23" s="68">
        <v>59</v>
      </c>
      <c r="M23" s="68">
        <v>25</v>
      </c>
    </row>
    <row r="24" spans="1:13" ht="15.75" customHeight="1">
      <c r="A24" s="79" t="s">
        <v>381</v>
      </c>
      <c r="B24" s="261">
        <v>8360</v>
      </c>
      <c r="C24" s="98">
        <v>1163</v>
      </c>
      <c r="D24" s="98">
        <v>1144</v>
      </c>
      <c r="E24" s="98">
        <v>1004</v>
      </c>
      <c r="F24" s="98">
        <v>750</v>
      </c>
      <c r="G24" s="98">
        <v>1217</v>
      </c>
      <c r="H24" s="98">
        <v>103</v>
      </c>
      <c r="I24" s="98">
        <v>933</v>
      </c>
      <c r="J24" s="98">
        <v>878</v>
      </c>
      <c r="K24" s="98">
        <v>368</v>
      </c>
      <c r="L24" s="98">
        <v>548</v>
      </c>
      <c r="M24" s="98">
        <v>252</v>
      </c>
    </row>
    <row r="25" spans="1:13" ht="15.75" customHeight="1">
      <c r="A25" s="75" t="s">
        <v>382</v>
      </c>
      <c r="B25" s="262">
        <v>906</v>
      </c>
      <c r="C25" s="68">
        <v>133</v>
      </c>
      <c r="D25" s="68">
        <v>143</v>
      </c>
      <c r="E25" s="68">
        <v>107</v>
      </c>
      <c r="F25" s="68">
        <v>65</v>
      </c>
      <c r="G25" s="68">
        <v>118</v>
      </c>
      <c r="H25" s="68">
        <v>9</v>
      </c>
      <c r="I25" s="68">
        <v>122</v>
      </c>
      <c r="J25" s="68">
        <v>107</v>
      </c>
      <c r="K25" s="68">
        <v>39</v>
      </c>
      <c r="L25" s="68">
        <v>47</v>
      </c>
      <c r="M25" s="68">
        <v>16</v>
      </c>
    </row>
    <row r="26" spans="1:13" ht="15.75" customHeight="1">
      <c r="A26" s="75" t="s">
        <v>383</v>
      </c>
      <c r="B26" s="262">
        <v>277</v>
      </c>
      <c r="C26" s="68">
        <v>25</v>
      </c>
      <c r="D26" s="68">
        <v>40</v>
      </c>
      <c r="E26" s="68">
        <v>21</v>
      </c>
      <c r="F26" s="68">
        <v>39</v>
      </c>
      <c r="G26" s="68">
        <v>28</v>
      </c>
      <c r="H26" s="68">
        <v>2</v>
      </c>
      <c r="I26" s="68">
        <v>40</v>
      </c>
      <c r="J26" s="68">
        <v>30</v>
      </c>
      <c r="K26" s="68">
        <v>9</v>
      </c>
      <c r="L26" s="68">
        <v>33</v>
      </c>
      <c r="M26" s="68">
        <v>10</v>
      </c>
    </row>
    <row r="27" spans="1:13" ht="15.75" customHeight="1">
      <c r="A27" s="75" t="s">
        <v>384</v>
      </c>
      <c r="B27" s="262">
        <v>232</v>
      </c>
      <c r="C27" s="68">
        <v>35</v>
      </c>
      <c r="D27" s="68">
        <v>42</v>
      </c>
      <c r="E27" s="68">
        <v>18</v>
      </c>
      <c r="F27" s="68">
        <v>44</v>
      </c>
      <c r="G27" s="68">
        <v>34</v>
      </c>
      <c r="H27" s="68">
        <v>2</v>
      </c>
      <c r="I27" s="68">
        <v>16</v>
      </c>
      <c r="J27" s="68">
        <v>17</v>
      </c>
      <c r="K27" s="68">
        <v>5</v>
      </c>
      <c r="L27" s="68">
        <v>14</v>
      </c>
      <c r="M27" s="68">
        <v>5</v>
      </c>
    </row>
    <row r="28" spans="1:13" ht="15.75" customHeight="1">
      <c r="A28" s="75" t="s">
        <v>385</v>
      </c>
      <c r="B28" s="262">
        <v>77</v>
      </c>
      <c r="C28" s="68">
        <v>13</v>
      </c>
      <c r="D28" s="68">
        <v>17</v>
      </c>
      <c r="E28" s="68">
        <v>6</v>
      </c>
      <c r="F28" s="68">
        <v>6</v>
      </c>
      <c r="G28" s="68">
        <v>9</v>
      </c>
      <c r="H28" s="68">
        <v>1</v>
      </c>
      <c r="I28" s="68">
        <v>11</v>
      </c>
      <c r="J28" s="68">
        <v>4</v>
      </c>
      <c r="K28" s="68">
        <v>1</v>
      </c>
      <c r="L28" s="68">
        <v>7</v>
      </c>
      <c r="M28" s="68">
        <v>2</v>
      </c>
    </row>
    <row r="29" spans="1:13" ht="15.75" customHeight="1">
      <c r="A29" s="75" t="s">
        <v>386</v>
      </c>
      <c r="B29" s="262">
        <v>40</v>
      </c>
      <c r="C29" s="68">
        <v>5</v>
      </c>
      <c r="D29" s="68">
        <v>3</v>
      </c>
      <c r="E29" s="68">
        <v>9</v>
      </c>
      <c r="F29" s="68">
        <v>5</v>
      </c>
      <c r="G29" s="68">
        <v>6</v>
      </c>
      <c r="H29" s="68">
        <v>0</v>
      </c>
      <c r="I29" s="68">
        <v>5</v>
      </c>
      <c r="J29" s="68">
        <v>3</v>
      </c>
      <c r="K29" s="68">
        <v>3</v>
      </c>
      <c r="L29" s="68">
        <v>1</v>
      </c>
      <c r="M29" s="68">
        <v>0</v>
      </c>
    </row>
    <row r="30" spans="1:13" ht="15.75" customHeight="1">
      <c r="A30" s="75" t="s">
        <v>387</v>
      </c>
      <c r="B30" s="262">
        <v>169</v>
      </c>
      <c r="C30" s="68">
        <v>26</v>
      </c>
      <c r="D30" s="68">
        <v>22</v>
      </c>
      <c r="E30" s="68">
        <v>21</v>
      </c>
      <c r="F30" s="68">
        <v>14</v>
      </c>
      <c r="G30" s="68">
        <v>23</v>
      </c>
      <c r="H30" s="68">
        <v>3</v>
      </c>
      <c r="I30" s="68">
        <v>21</v>
      </c>
      <c r="J30" s="68">
        <v>14</v>
      </c>
      <c r="K30" s="68">
        <v>7</v>
      </c>
      <c r="L30" s="68">
        <v>13</v>
      </c>
      <c r="M30" s="68">
        <v>5</v>
      </c>
    </row>
    <row r="31" spans="1:13" ht="15.75" customHeight="1">
      <c r="A31" s="75" t="s">
        <v>388</v>
      </c>
      <c r="B31" s="262">
        <v>1053</v>
      </c>
      <c r="C31" s="68">
        <v>164</v>
      </c>
      <c r="D31" s="68">
        <v>142</v>
      </c>
      <c r="E31" s="68">
        <v>139</v>
      </c>
      <c r="F31" s="68">
        <v>104</v>
      </c>
      <c r="G31" s="68">
        <v>132</v>
      </c>
      <c r="H31" s="68">
        <v>4</v>
      </c>
      <c r="I31" s="68">
        <v>93</v>
      </c>
      <c r="J31" s="68">
        <v>111</v>
      </c>
      <c r="K31" s="68">
        <v>69</v>
      </c>
      <c r="L31" s="68">
        <v>66</v>
      </c>
      <c r="M31" s="68">
        <v>29</v>
      </c>
    </row>
    <row r="32" spans="1:13" ht="15.75" customHeight="1">
      <c r="A32" s="75" t="s">
        <v>389</v>
      </c>
      <c r="B32" s="262">
        <v>67</v>
      </c>
      <c r="C32" s="68">
        <v>16</v>
      </c>
      <c r="D32" s="68">
        <v>9</v>
      </c>
      <c r="E32" s="68">
        <v>11</v>
      </c>
      <c r="F32" s="68">
        <v>5</v>
      </c>
      <c r="G32" s="68">
        <v>10</v>
      </c>
      <c r="H32" s="68">
        <v>0</v>
      </c>
      <c r="I32" s="68">
        <v>5</v>
      </c>
      <c r="J32" s="68">
        <v>4</v>
      </c>
      <c r="K32" s="68">
        <v>1</v>
      </c>
      <c r="L32" s="68">
        <v>5</v>
      </c>
      <c r="M32" s="68">
        <v>1</v>
      </c>
    </row>
    <row r="33" spans="1:13" ht="15.75" customHeight="1">
      <c r="A33" s="75" t="s">
        <v>390</v>
      </c>
      <c r="B33" s="262">
        <v>1078</v>
      </c>
      <c r="C33" s="68">
        <v>196</v>
      </c>
      <c r="D33" s="68">
        <v>147</v>
      </c>
      <c r="E33" s="68">
        <v>127</v>
      </c>
      <c r="F33" s="68">
        <v>91</v>
      </c>
      <c r="G33" s="68">
        <v>163</v>
      </c>
      <c r="H33" s="68">
        <v>8</v>
      </c>
      <c r="I33" s="68">
        <v>99</v>
      </c>
      <c r="J33" s="68">
        <v>105</v>
      </c>
      <c r="K33" s="68">
        <v>41</v>
      </c>
      <c r="L33" s="68">
        <v>78</v>
      </c>
      <c r="M33" s="68">
        <v>23</v>
      </c>
    </row>
    <row r="34" spans="1:13" ht="15.75" customHeight="1">
      <c r="A34" s="75" t="s">
        <v>391</v>
      </c>
      <c r="B34" s="262">
        <v>170</v>
      </c>
      <c r="C34" s="68">
        <v>36</v>
      </c>
      <c r="D34" s="68">
        <v>21</v>
      </c>
      <c r="E34" s="68">
        <v>11</v>
      </c>
      <c r="F34" s="68">
        <v>7</v>
      </c>
      <c r="G34" s="68">
        <v>31</v>
      </c>
      <c r="H34" s="68">
        <v>3</v>
      </c>
      <c r="I34" s="68">
        <v>21</v>
      </c>
      <c r="J34" s="68">
        <v>13</v>
      </c>
      <c r="K34" s="68">
        <v>6</v>
      </c>
      <c r="L34" s="68">
        <v>13</v>
      </c>
      <c r="M34" s="68">
        <v>8</v>
      </c>
    </row>
    <row r="35" spans="1:13" ht="15.75" customHeight="1">
      <c r="A35" s="75" t="s">
        <v>392</v>
      </c>
      <c r="B35" s="262">
        <v>334</v>
      </c>
      <c r="C35" s="68">
        <v>48</v>
      </c>
      <c r="D35" s="68">
        <v>51</v>
      </c>
      <c r="E35" s="68">
        <v>40</v>
      </c>
      <c r="F35" s="68">
        <v>31</v>
      </c>
      <c r="G35" s="68">
        <v>50</v>
      </c>
      <c r="H35" s="68">
        <v>7</v>
      </c>
      <c r="I35" s="68">
        <v>36</v>
      </c>
      <c r="J35" s="68">
        <v>35</v>
      </c>
      <c r="K35" s="68">
        <v>9</v>
      </c>
      <c r="L35" s="68">
        <v>19</v>
      </c>
      <c r="M35" s="68">
        <v>8</v>
      </c>
    </row>
    <row r="36" spans="1:13" ht="15.75" customHeight="1">
      <c r="A36" s="75" t="s">
        <v>393</v>
      </c>
      <c r="B36" s="262">
        <v>137</v>
      </c>
      <c r="C36" s="68">
        <v>23</v>
      </c>
      <c r="D36" s="68">
        <v>23</v>
      </c>
      <c r="E36" s="68">
        <v>10</v>
      </c>
      <c r="F36" s="68">
        <v>9</v>
      </c>
      <c r="G36" s="68">
        <v>30</v>
      </c>
      <c r="H36" s="68">
        <v>4</v>
      </c>
      <c r="I36" s="68">
        <v>16</v>
      </c>
      <c r="J36" s="68">
        <v>11</v>
      </c>
      <c r="K36" s="68">
        <v>5</v>
      </c>
      <c r="L36" s="68">
        <v>4</v>
      </c>
      <c r="M36" s="68">
        <v>2</v>
      </c>
    </row>
    <row r="37" spans="1:13" ht="15.75" customHeight="1">
      <c r="A37" s="75" t="s">
        <v>394</v>
      </c>
      <c r="B37" s="262">
        <v>418</v>
      </c>
      <c r="C37" s="68">
        <v>56</v>
      </c>
      <c r="D37" s="68">
        <v>53</v>
      </c>
      <c r="E37" s="68">
        <v>37</v>
      </c>
      <c r="F37" s="68">
        <v>33</v>
      </c>
      <c r="G37" s="68">
        <v>58</v>
      </c>
      <c r="H37" s="68">
        <v>7</v>
      </c>
      <c r="I37" s="68">
        <v>75</v>
      </c>
      <c r="J37" s="68">
        <v>56</v>
      </c>
      <c r="K37" s="68">
        <v>16</v>
      </c>
      <c r="L37" s="68">
        <v>21</v>
      </c>
      <c r="M37" s="68">
        <v>6</v>
      </c>
    </row>
    <row r="38" spans="1:13" ht="15.75" customHeight="1">
      <c r="A38" s="75" t="s">
        <v>395</v>
      </c>
      <c r="B38" s="262">
        <v>1232</v>
      </c>
      <c r="C38" s="68">
        <v>130</v>
      </c>
      <c r="D38" s="68">
        <v>158</v>
      </c>
      <c r="E38" s="68">
        <v>156</v>
      </c>
      <c r="F38" s="68">
        <v>145</v>
      </c>
      <c r="G38" s="68">
        <v>190</v>
      </c>
      <c r="H38" s="68">
        <v>15</v>
      </c>
      <c r="I38" s="68">
        <v>135</v>
      </c>
      <c r="J38" s="68">
        <v>131</v>
      </c>
      <c r="K38" s="68">
        <v>44</v>
      </c>
      <c r="L38" s="68">
        <v>91</v>
      </c>
      <c r="M38" s="68">
        <v>37</v>
      </c>
    </row>
    <row r="39" spans="1:13" ht="15.75" customHeight="1">
      <c r="A39" s="75" t="s">
        <v>396</v>
      </c>
      <c r="B39" s="262">
        <v>568</v>
      </c>
      <c r="C39" s="68">
        <v>70</v>
      </c>
      <c r="D39" s="68">
        <v>59</v>
      </c>
      <c r="E39" s="68">
        <v>67</v>
      </c>
      <c r="F39" s="68">
        <v>38</v>
      </c>
      <c r="G39" s="68">
        <v>86</v>
      </c>
      <c r="H39" s="68">
        <v>10</v>
      </c>
      <c r="I39" s="68">
        <v>59</v>
      </c>
      <c r="J39" s="68">
        <v>68</v>
      </c>
      <c r="K39" s="68">
        <v>36</v>
      </c>
      <c r="L39" s="68">
        <v>42</v>
      </c>
      <c r="M39" s="68">
        <v>33</v>
      </c>
    </row>
    <row r="40" spans="1:13" ht="15.75" customHeight="1">
      <c r="A40" s="75" t="s">
        <v>397</v>
      </c>
      <c r="B40" s="262">
        <v>414</v>
      </c>
      <c r="C40" s="68">
        <v>48</v>
      </c>
      <c r="D40" s="68">
        <v>52</v>
      </c>
      <c r="E40" s="68">
        <v>62</v>
      </c>
      <c r="F40" s="68">
        <v>28</v>
      </c>
      <c r="G40" s="68">
        <v>59</v>
      </c>
      <c r="H40" s="68">
        <v>7</v>
      </c>
      <c r="I40" s="68">
        <v>53</v>
      </c>
      <c r="J40" s="68">
        <v>43</v>
      </c>
      <c r="K40" s="68">
        <v>22</v>
      </c>
      <c r="L40" s="68">
        <v>23</v>
      </c>
      <c r="M40" s="68">
        <v>17</v>
      </c>
    </row>
    <row r="41" spans="1:13" ht="15.75" customHeight="1">
      <c r="A41" s="75" t="s">
        <v>398</v>
      </c>
      <c r="B41" s="262">
        <v>605</v>
      </c>
      <c r="C41" s="68">
        <v>61</v>
      </c>
      <c r="D41" s="68">
        <v>85</v>
      </c>
      <c r="E41" s="68">
        <v>77</v>
      </c>
      <c r="F41" s="68">
        <v>39</v>
      </c>
      <c r="G41" s="68">
        <v>97</v>
      </c>
      <c r="H41" s="68">
        <v>8</v>
      </c>
      <c r="I41" s="68">
        <v>71</v>
      </c>
      <c r="J41" s="68">
        <v>80</v>
      </c>
      <c r="K41" s="68">
        <v>24</v>
      </c>
      <c r="L41" s="68">
        <v>39</v>
      </c>
      <c r="M41" s="68">
        <v>24</v>
      </c>
    </row>
    <row r="42" spans="1:13" ht="15.75" customHeight="1">
      <c r="A42" s="75" t="s">
        <v>399</v>
      </c>
      <c r="B42" s="262">
        <v>215</v>
      </c>
      <c r="C42" s="68">
        <v>31</v>
      </c>
      <c r="D42" s="68">
        <v>26</v>
      </c>
      <c r="E42" s="68">
        <v>25</v>
      </c>
      <c r="F42" s="68">
        <v>17</v>
      </c>
      <c r="G42" s="68">
        <v>42</v>
      </c>
      <c r="H42" s="68">
        <v>6</v>
      </c>
      <c r="I42" s="68">
        <v>16</v>
      </c>
      <c r="J42" s="68">
        <v>21</v>
      </c>
      <c r="K42" s="68">
        <v>9</v>
      </c>
      <c r="L42" s="68">
        <v>14</v>
      </c>
      <c r="M42" s="68">
        <v>8</v>
      </c>
    </row>
    <row r="43" spans="1:13" ht="15.75" customHeight="1">
      <c r="A43" s="75" t="s">
        <v>400</v>
      </c>
      <c r="B43" s="262">
        <v>291</v>
      </c>
      <c r="C43" s="68">
        <v>36</v>
      </c>
      <c r="D43" s="68">
        <v>42</v>
      </c>
      <c r="E43" s="68">
        <v>46</v>
      </c>
      <c r="F43" s="68">
        <v>25</v>
      </c>
      <c r="G43" s="68">
        <v>40</v>
      </c>
      <c r="H43" s="68">
        <v>6</v>
      </c>
      <c r="I43" s="68">
        <v>29</v>
      </c>
      <c r="J43" s="68">
        <v>20</v>
      </c>
      <c r="K43" s="68">
        <v>19</v>
      </c>
      <c r="L43" s="68">
        <v>14</v>
      </c>
      <c r="M43" s="68">
        <v>14</v>
      </c>
    </row>
    <row r="44" spans="1:13" ht="15.75" customHeight="1" thickBot="1">
      <c r="A44" s="75" t="s">
        <v>401</v>
      </c>
      <c r="B44" s="262">
        <v>77</v>
      </c>
      <c r="C44" s="68">
        <v>11</v>
      </c>
      <c r="D44" s="68">
        <v>9</v>
      </c>
      <c r="E44" s="68">
        <v>14</v>
      </c>
      <c r="F44" s="68">
        <v>5</v>
      </c>
      <c r="G44" s="68">
        <v>11</v>
      </c>
      <c r="H44" s="68">
        <v>1</v>
      </c>
      <c r="I44" s="68">
        <v>10</v>
      </c>
      <c r="J44" s="68">
        <v>5</v>
      </c>
      <c r="K44" s="68">
        <v>3</v>
      </c>
      <c r="L44" s="68">
        <v>4</v>
      </c>
      <c r="M44" s="68">
        <v>4</v>
      </c>
    </row>
    <row r="45" spans="1:13" ht="15">
      <c r="A45" s="391" t="s">
        <v>635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</row>
  </sheetData>
  <sheetProtection/>
  <mergeCells count="5">
    <mergeCell ref="A1:M1"/>
    <mergeCell ref="A2:M2"/>
    <mergeCell ref="A3:M3"/>
    <mergeCell ref="C4:M4"/>
    <mergeCell ref="A45:M45"/>
  </mergeCells>
  <printOptions/>
  <pageMargins left="0.7" right="0.7" top="0.787401575" bottom="0.7874015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zoomScale="85" zoomScaleNormal="85" zoomScalePageLayoutView="0" workbookViewId="0" topLeftCell="A1">
      <selection activeCell="P7" sqref="P7"/>
    </sheetView>
  </sheetViews>
  <sheetFormatPr defaultColWidth="11.421875" defaultRowHeight="12.75"/>
  <cols>
    <col min="1" max="1" width="54.7109375" style="77" bestFit="1" customWidth="1"/>
    <col min="2" max="2" width="7.57421875" style="77" bestFit="1" customWidth="1"/>
    <col min="3" max="3" width="7.7109375" style="77" bestFit="1" customWidth="1"/>
    <col min="4" max="4" width="9.28125" style="77" bestFit="1" customWidth="1"/>
    <col min="5" max="5" width="8.8515625" style="77" bestFit="1" customWidth="1"/>
    <col min="6" max="6" width="14.140625" style="77" bestFit="1" customWidth="1"/>
    <col min="7" max="7" width="9.57421875" style="77" bestFit="1" customWidth="1"/>
    <col min="8" max="8" width="9.7109375" style="77" bestFit="1" customWidth="1"/>
    <col min="9" max="9" width="9.00390625" style="77" bestFit="1" customWidth="1"/>
    <col min="10" max="10" width="9.28125" style="77" bestFit="1" customWidth="1"/>
    <col min="11" max="11" width="10.28125" style="77" bestFit="1" customWidth="1"/>
    <col min="12" max="12" width="9.28125" style="77" bestFit="1" customWidth="1"/>
    <col min="13" max="13" width="15.140625" style="77" bestFit="1" customWidth="1"/>
    <col min="14" max="16384" width="11.421875" style="77" customWidth="1"/>
  </cols>
  <sheetData>
    <row r="1" spans="1:13" ht="18" customHeight="1">
      <c r="A1" s="407" t="s">
        <v>419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5.75" customHeight="1">
      <c r="A2" s="416" t="s">
        <v>528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5.75" customHeight="1" thickBot="1">
      <c r="A3" s="405" t="s">
        <v>450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ht="15.75" customHeight="1">
      <c r="A4" s="88"/>
      <c r="B4" s="350" t="s">
        <v>134</v>
      </c>
      <c r="C4" s="411" t="s">
        <v>122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5.75" customHeight="1">
      <c r="A5" s="88"/>
      <c r="B5" s="342"/>
      <c r="C5" s="349" t="s">
        <v>123</v>
      </c>
      <c r="D5" s="349" t="s">
        <v>124</v>
      </c>
      <c r="E5" s="349" t="s">
        <v>125</v>
      </c>
      <c r="F5" s="349" t="s">
        <v>126</v>
      </c>
      <c r="G5" s="349" t="s">
        <v>127</v>
      </c>
      <c r="H5" s="349" t="s">
        <v>128</v>
      </c>
      <c r="I5" s="349" t="s">
        <v>129</v>
      </c>
      <c r="J5" s="349" t="s">
        <v>130</v>
      </c>
      <c r="K5" s="349" t="s">
        <v>131</v>
      </c>
      <c r="L5" s="349" t="s">
        <v>132</v>
      </c>
      <c r="M5" s="349" t="s">
        <v>133</v>
      </c>
    </row>
    <row r="6" spans="1:13" ht="15.75" customHeight="1">
      <c r="A6" s="141" t="s">
        <v>134</v>
      </c>
      <c r="B6" s="261">
        <v>1098</v>
      </c>
      <c r="C6" s="98">
        <v>128</v>
      </c>
      <c r="D6" s="98">
        <v>160</v>
      </c>
      <c r="E6" s="98">
        <v>182</v>
      </c>
      <c r="F6" s="98">
        <v>64</v>
      </c>
      <c r="G6" s="98">
        <v>157</v>
      </c>
      <c r="H6" s="98">
        <v>14</v>
      </c>
      <c r="I6" s="98">
        <v>114</v>
      </c>
      <c r="J6" s="98">
        <v>94</v>
      </c>
      <c r="K6" s="98">
        <v>69</v>
      </c>
      <c r="L6" s="98">
        <v>78</v>
      </c>
      <c r="M6" s="98">
        <v>38</v>
      </c>
    </row>
    <row r="7" spans="1:13" ht="15.75" customHeight="1">
      <c r="A7" s="141" t="s">
        <v>364</v>
      </c>
      <c r="B7" s="261">
        <v>7</v>
      </c>
      <c r="C7" s="98">
        <v>0</v>
      </c>
      <c r="D7" s="98">
        <v>2</v>
      </c>
      <c r="E7" s="98">
        <v>0</v>
      </c>
      <c r="F7" s="98">
        <v>1</v>
      </c>
      <c r="G7" s="98">
        <v>1</v>
      </c>
      <c r="H7" s="98">
        <v>0</v>
      </c>
      <c r="I7" s="98">
        <v>0</v>
      </c>
      <c r="J7" s="98">
        <v>0</v>
      </c>
      <c r="K7" s="98">
        <v>0</v>
      </c>
      <c r="L7" s="98">
        <v>2</v>
      </c>
      <c r="M7" s="98">
        <v>1</v>
      </c>
    </row>
    <row r="8" spans="1:13" ht="15.75" customHeight="1">
      <c r="A8" s="142" t="s">
        <v>365</v>
      </c>
      <c r="B8" s="262">
        <v>7</v>
      </c>
      <c r="C8" s="68">
        <v>0</v>
      </c>
      <c r="D8" s="68">
        <v>2</v>
      </c>
      <c r="E8" s="68">
        <v>0</v>
      </c>
      <c r="F8" s="68">
        <v>1</v>
      </c>
      <c r="G8" s="68">
        <v>1</v>
      </c>
      <c r="H8" s="68">
        <v>0</v>
      </c>
      <c r="I8" s="68">
        <v>0</v>
      </c>
      <c r="J8" s="68">
        <v>0</v>
      </c>
      <c r="K8" s="68">
        <v>0</v>
      </c>
      <c r="L8" s="68">
        <v>2</v>
      </c>
      <c r="M8" s="68">
        <v>1</v>
      </c>
    </row>
    <row r="9" spans="1:13" ht="15.75" customHeight="1">
      <c r="A9" s="141" t="s">
        <v>366</v>
      </c>
      <c r="B9" s="261">
        <v>349</v>
      </c>
      <c r="C9" s="98">
        <v>25</v>
      </c>
      <c r="D9" s="98">
        <v>49</v>
      </c>
      <c r="E9" s="98">
        <v>49</v>
      </c>
      <c r="F9" s="98">
        <v>21</v>
      </c>
      <c r="G9" s="98">
        <v>54</v>
      </c>
      <c r="H9" s="98">
        <v>7</v>
      </c>
      <c r="I9" s="98">
        <v>35</v>
      </c>
      <c r="J9" s="98">
        <v>34</v>
      </c>
      <c r="K9" s="98">
        <v>30</v>
      </c>
      <c r="L9" s="98">
        <v>25</v>
      </c>
      <c r="M9" s="98">
        <v>20</v>
      </c>
    </row>
    <row r="10" spans="1:13" ht="15.75" customHeight="1">
      <c r="A10" s="142" t="s">
        <v>368</v>
      </c>
      <c r="B10" s="262">
        <v>13</v>
      </c>
      <c r="C10" s="68">
        <v>2</v>
      </c>
      <c r="D10" s="68">
        <v>1</v>
      </c>
      <c r="E10" s="68">
        <v>2</v>
      </c>
      <c r="F10" s="68">
        <v>0</v>
      </c>
      <c r="G10" s="68">
        <v>2</v>
      </c>
      <c r="H10" s="68">
        <v>0</v>
      </c>
      <c r="I10" s="68">
        <v>1</v>
      </c>
      <c r="J10" s="68">
        <v>1</v>
      </c>
      <c r="K10" s="68">
        <v>1</v>
      </c>
      <c r="L10" s="68">
        <v>2</v>
      </c>
      <c r="M10" s="68">
        <v>1</v>
      </c>
    </row>
    <row r="11" spans="1:13" ht="15.75" customHeight="1">
      <c r="A11" s="142" t="s">
        <v>369</v>
      </c>
      <c r="B11" s="262">
        <v>3</v>
      </c>
      <c r="C11" s="68">
        <v>0</v>
      </c>
      <c r="D11" s="68">
        <v>2</v>
      </c>
      <c r="E11" s="68">
        <v>0</v>
      </c>
      <c r="F11" s="68">
        <v>0</v>
      </c>
      <c r="G11" s="68">
        <v>0</v>
      </c>
      <c r="H11" s="68">
        <v>0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</row>
    <row r="12" spans="1:13" ht="15.75" customHeight="1">
      <c r="A12" s="142" t="s">
        <v>370</v>
      </c>
      <c r="B12" s="262">
        <v>28</v>
      </c>
      <c r="C12" s="68">
        <v>1</v>
      </c>
      <c r="D12" s="68">
        <v>4</v>
      </c>
      <c r="E12" s="68">
        <v>4</v>
      </c>
      <c r="F12" s="68">
        <v>3</v>
      </c>
      <c r="G12" s="68">
        <v>5</v>
      </c>
      <c r="H12" s="68">
        <v>0</v>
      </c>
      <c r="I12" s="68">
        <v>2</v>
      </c>
      <c r="J12" s="68">
        <v>3</v>
      </c>
      <c r="K12" s="68">
        <v>3</v>
      </c>
      <c r="L12" s="68">
        <v>2</v>
      </c>
      <c r="M12" s="68">
        <v>1</v>
      </c>
    </row>
    <row r="13" spans="1:13" ht="15.75" customHeight="1">
      <c r="A13" s="142" t="s">
        <v>371</v>
      </c>
      <c r="B13" s="262">
        <v>15</v>
      </c>
      <c r="C13" s="68">
        <v>1</v>
      </c>
      <c r="D13" s="68">
        <v>3</v>
      </c>
      <c r="E13" s="68">
        <v>0</v>
      </c>
      <c r="F13" s="68">
        <v>2</v>
      </c>
      <c r="G13" s="68">
        <v>3</v>
      </c>
      <c r="H13" s="68">
        <v>0</v>
      </c>
      <c r="I13" s="68">
        <v>1</v>
      </c>
      <c r="J13" s="68">
        <v>4</v>
      </c>
      <c r="K13" s="68">
        <v>1</v>
      </c>
      <c r="L13" s="68">
        <v>0</v>
      </c>
      <c r="M13" s="68">
        <v>0</v>
      </c>
    </row>
    <row r="14" spans="1:13" ht="15.75" customHeight="1">
      <c r="A14" s="142" t="s">
        <v>372</v>
      </c>
      <c r="B14" s="262">
        <v>17</v>
      </c>
      <c r="C14" s="68">
        <v>0</v>
      </c>
      <c r="D14" s="68">
        <v>2</v>
      </c>
      <c r="E14" s="68">
        <v>2</v>
      </c>
      <c r="F14" s="68">
        <v>1</v>
      </c>
      <c r="G14" s="68">
        <v>3</v>
      </c>
      <c r="H14" s="68">
        <v>0</v>
      </c>
      <c r="I14" s="68">
        <v>3</v>
      </c>
      <c r="J14" s="68">
        <v>1</v>
      </c>
      <c r="K14" s="68">
        <v>1</v>
      </c>
      <c r="L14" s="68">
        <v>0</v>
      </c>
      <c r="M14" s="68">
        <v>4</v>
      </c>
    </row>
    <row r="15" spans="1:13" ht="15.75" customHeight="1">
      <c r="A15" s="142" t="s">
        <v>373</v>
      </c>
      <c r="B15" s="262">
        <v>39</v>
      </c>
      <c r="C15" s="68">
        <v>6</v>
      </c>
      <c r="D15" s="68">
        <v>3</v>
      </c>
      <c r="E15" s="68">
        <v>6</v>
      </c>
      <c r="F15" s="68">
        <v>1</v>
      </c>
      <c r="G15" s="68">
        <v>3</v>
      </c>
      <c r="H15" s="68">
        <v>1</v>
      </c>
      <c r="I15" s="68">
        <v>6</v>
      </c>
      <c r="J15" s="68">
        <v>5</v>
      </c>
      <c r="K15" s="68">
        <v>5</v>
      </c>
      <c r="L15" s="68">
        <v>2</v>
      </c>
      <c r="M15" s="68">
        <v>1</v>
      </c>
    </row>
    <row r="16" spans="1:13" ht="15.75" customHeight="1">
      <c r="A16" s="142" t="s">
        <v>374</v>
      </c>
      <c r="B16" s="262">
        <v>35</v>
      </c>
      <c r="C16" s="68">
        <v>1</v>
      </c>
      <c r="D16" s="68">
        <v>6</v>
      </c>
      <c r="E16" s="68">
        <v>9</v>
      </c>
      <c r="F16" s="68">
        <v>2</v>
      </c>
      <c r="G16" s="68">
        <v>4</v>
      </c>
      <c r="H16" s="68">
        <v>0</v>
      </c>
      <c r="I16" s="68">
        <v>1</v>
      </c>
      <c r="J16" s="68">
        <v>3</v>
      </c>
      <c r="K16" s="68">
        <v>5</v>
      </c>
      <c r="L16" s="68">
        <v>2</v>
      </c>
      <c r="M16" s="68">
        <v>2</v>
      </c>
    </row>
    <row r="17" spans="1:13" ht="15.75" customHeight="1">
      <c r="A17" s="142" t="s">
        <v>375</v>
      </c>
      <c r="B17" s="262">
        <v>9</v>
      </c>
      <c r="C17" s="68">
        <v>0</v>
      </c>
      <c r="D17" s="68">
        <v>1</v>
      </c>
      <c r="E17" s="68">
        <v>2</v>
      </c>
      <c r="F17" s="68">
        <v>1</v>
      </c>
      <c r="G17" s="68">
        <v>0</v>
      </c>
      <c r="H17" s="68">
        <v>0</v>
      </c>
      <c r="I17" s="68">
        <v>2</v>
      </c>
      <c r="J17" s="68">
        <v>1</v>
      </c>
      <c r="K17" s="68">
        <v>1</v>
      </c>
      <c r="L17" s="68">
        <v>1</v>
      </c>
      <c r="M17" s="68">
        <v>0</v>
      </c>
    </row>
    <row r="18" spans="1:13" ht="15.75" customHeight="1">
      <c r="A18" s="142" t="s">
        <v>376</v>
      </c>
      <c r="B18" s="262">
        <v>89</v>
      </c>
      <c r="C18" s="68">
        <v>6</v>
      </c>
      <c r="D18" s="68">
        <v>10</v>
      </c>
      <c r="E18" s="68">
        <v>6</v>
      </c>
      <c r="F18" s="68">
        <v>5</v>
      </c>
      <c r="G18" s="68">
        <v>18</v>
      </c>
      <c r="H18" s="68">
        <v>2</v>
      </c>
      <c r="I18" s="68">
        <v>7</v>
      </c>
      <c r="J18" s="68">
        <v>12</v>
      </c>
      <c r="K18" s="68">
        <v>7</v>
      </c>
      <c r="L18" s="68">
        <v>11</v>
      </c>
      <c r="M18" s="68">
        <v>5</v>
      </c>
    </row>
    <row r="19" spans="1:13" ht="15.75" customHeight="1">
      <c r="A19" s="142" t="s">
        <v>377</v>
      </c>
      <c r="B19" s="262">
        <v>16</v>
      </c>
      <c r="C19" s="68">
        <v>2</v>
      </c>
      <c r="D19" s="68">
        <v>0</v>
      </c>
      <c r="E19" s="68">
        <v>2</v>
      </c>
      <c r="F19" s="68">
        <v>0</v>
      </c>
      <c r="G19" s="68">
        <v>4</v>
      </c>
      <c r="H19" s="68">
        <v>0</v>
      </c>
      <c r="I19" s="68">
        <v>3</v>
      </c>
      <c r="J19" s="68">
        <v>2</v>
      </c>
      <c r="K19" s="68">
        <v>2</v>
      </c>
      <c r="L19" s="68">
        <v>1</v>
      </c>
      <c r="M19" s="68">
        <v>0</v>
      </c>
    </row>
    <row r="20" spans="1:13" ht="15.75" customHeight="1">
      <c r="A20" s="142" t="s">
        <v>378</v>
      </c>
      <c r="B20" s="262">
        <v>11</v>
      </c>
      <c r="C20" s="68">
        <v>2</v>
      </c>
      <c r="D20" s="68">
        <v>4</v>
      </c>
      <c r="E20" s="68">
        <v>2</v>
      </c>
      <c r="F20" s="68">
        <v>0</v>
      </c>
      <c r="G20" s="68">
        <v>0</v>
      </c>
      <c r="H20" s="68">
        <v>0</v>
      </c>
      <c r="I20" s="68">
        <v>1</v>
      </c>
      <c r="J20" s="68">
        <v>0</v>
      </c>
      <c r="K20" s="68">
        <v>2</v>
      </c>
      <c r="L20" s="68">
        <v>0</v>
      </c>
      <c r="M20" s="68">
        <v>0</v>
      </c>
    </row>
    <row r="21" spans="1:13" ht="15.75" customHeight="1">
      <c r="A21" s="142" t="s">
        <v>379</v>
      </c>
      <c r="B21" s="262">
        <v>14</v>
      </c>
      <c r="C21" s="68">
        <v>0</v>
      </c>
      <c r="D21" s="68">
        <v>3</v>
      </c>
      <c r="E21" s="68">
        <v>1</v>
      </c>
      <c r="F21" s="68">
        <v>0</v>
      </c>
      <c r="G21" s="68">
        <v>2</v>
      </c>
      <c r="H21" s="68">
        <v>1</v>
      </c>
      <c r="I21" s="68">
        <v>5</v>
      </c>
      <c r="J21" s="68">
        <v>0</v>
      </c>
      <c r="K21" s="68">
        <v>0</v>
      </c>
      <c r="L21" s="68">
        <v>0</v>
      </c>
      <c r="M21" s="68">
        <v>2</v>
      </c>
    </row>
    <row r="22" spans="1:13" ht="15.75" customHeight="1">
      <c r="A22" s="142" t="s">
        <v>380</v>
      </c>
      <c r="B22" s="262">
        <v>60</v>
      </c>
      <c r="C22" s="68">
        <v>4</v>
      </c>
      <c r="D22" s="68">
        <v>10</v>
      </c>
      <c r="E22" s="68">
        <v>13</v>
      </c>
      <c r="F22" s="68">
        <v>6</v>
      </c>
      <c r="G22" s="68">
        <v>10</v>
      </c>
      <c r="H22" s="68">
        <v>3</v>
      </c>
      <c r="I22" s="68">
        <v>2</v>
      </c>
      <c r="J22" s="68">
        <v>2</v>
      </c>
      <c r="K22" s="68">
        <v>2</v>
      </c>
      <c r="L22" s="68">
        <v>4</v>
      </c>
      <c r="M22" s="68">
        <v>4</v>
      </c>
    </row>
    <row r="23" spans="1:13" ht="15.75" customHeight="1">
      <c r="A23" s="141" t="s">
        <v>381</v>
      </c>
      <c r="B23" s="261">
        <v>742</v>
      </c>
      <c r="C23" s="98">
        <v>103</v>
      </c>
      <c r="D23" s="98">
        <v>109</v>
      </c>
      <c r="E23" s="98">
        <v>133</v>
      </c>
      <c r="F23" s="98">
        <v>42</v>
      </c>
      <c r="G23" s="98">
        <v>102</v>
      </c>
      <c r="H23" s="98">
        <v>7</v>
      </c>
      <c r="I23" s="98">
        <v>79</v>
      </c>
      <c r="J23" s="98">
        <v>60</v>
      </c>
      <c r="K23" s="98">
        <v>39</v>
      </c>
      <c r="L23" s="98">
        <v>51</v>
      </c>
      <c r="M23" s="98">
        <v>17</v>
      </c>
    </row>
    <row r="24" spans="1:13" ht="15.75" customHeight="1">
      <c r="A24" s="142" t="s">
        <v>382</v>
      </c>
      <c r="B24" s="262">
        <v>173</v>
      </c>
      <c r="C24" s="68">
        <v>25</v>
      </c>
      <c r="D24" s="68">
        <v>28</v>
      </c>
      <c r="E24" s="68">
        <v>39</v>
      </c>
      <c r="F24" s="68">
        <v>13</v>
      </c>
      <c r="G24" s="68">
        <v>14</v>
      </c>
      <c r="H24" s="68">
        <v>0</v>
      </c>
      <c r="I24" s="68">
        <v>13</v>
      </c>
      <c r="J24" s="68">
        <v>17</v>
      </c>
      <c r="K24" s="68">
        <v>9</v>
      </c>
      <c r="L24" s="68">
        <v>13</v>
      </c>
      <c r="M24" s="68">
        <v>2</v>
      </c>
    </row>
    <row r="25" spans="1:13" ht="15.75" customHeight="1">
      <c r="A25" s="142" t="s">
        <v>383</v>
      </c>
      <c r="B25" s="262">
        <v>43</v>
      </c>
      <c r="C25" s="68">
        <v>5</v>
      </c>
      <c r="D25" s="68">
        <v>10</v>
      </c>
      <c r="E25" s="68">
        <v>10</v>
      </c>
      <c r="F25" s="68">
        <v>4</v>
      </c>
      <c r="G25" s="68">
        <v>4</v>
      </c>
      <c r="H25" s="68">
        <v>0</v>
      </c>
      <c r="I25" s="68">
        <v>5</v>
      </c>
      <c r="J25" s="68">
        <v>0</v>
      </c>
      <c r="K25" s="68">
        <v>3</v>
      </c>
      <c r="L25" s="68">
        <v>2</v>
      </c>
      <c r="M25" s="68">
        <v>0</v>
      </c>
    </row>
    <row r="26" spans="1:13" ht="15.75" customHeight="1">
      <c r="A26" s="142" t="s">
        <v>384</v>
      </c>
      <c r="B26" s="262">
        <v>32</v>
      </c>
      <c r="C26" s="68">
        <v>4</v>
      </c>
      <c r="D26" s="68">
        <v>6</v>
      </c>
      <c r="E26" s="68">
        <v>4</v>
      </c>
      <c r="F26" s="68">
        <v>1</v>
      </c>
      <c r="G26" s="68">
        <v>8</v>
      </c>
      <c r="H26" s="68">
        <v>0</v>
      </c>
      <c r="I26" s="68">
        <v>3</v>
      </c>
      <c r="J26" s="68">
        <v>1</v>
      </c>
      <c r="K26" s="68">
        <v>3</v>
      </c>
      <c r="L26" s="68">
        <v>1</v>
      </c>
      <c r="M26" s="68">
        <v>1</v>
      </c>
    </row>
    <row r="27" spans="1:13" ht="15.75" customHeight="1">
      <c r="A27" s="142" t="s">
        <v>385</v>
      </c>
      <c r="B27" s="262">
        <v>3</v>
      </c>
      <c r="C27" s="68">
        <v>1</v>
      </c>
      <c r="D27" s="68">
        <v>0</v>
      </c>
      <c r="E27" s="68">
        <v>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1</v>
      </c>
      <c r="M27" s="68">
        <v>0</v>
      </c>
    </row>
    <row r="28" spans="1:13" ht="15.75" customHeight="1">
      <c r="A28" s="142" t="s">
        <v>386</v>
      </c>
      <c r="B28" s="262">
        <v>3</v>
      </c>
      <c r="C28" s="68">
        <v>0</v>
      </c>
      <c r="D28" s="68">
        <v>0</v>
      </c>
      <c r="E28" s="68">
        <v>1</v>
      </c>
      <c r="F28" s="68">
        <v>0</v>
      </c>
      <c r="G28" s="68">
        <v>0</v>
      </c>
      <c r="H28" s="68">
        <v>0</v>
      </c>
      <c r="I28" s="68">
        <v>2</v>
      </c>
      <c r="J28" s="68">
        <v>0</v>
      </c>
      <c r="K28" s="68">
        <v>0</v>
      </c>
      <c r="L28" s="68">
        <v>0</v>
      </c>
      <c r="M28" s="68">
        <v>0</v>
      </c>
    </row>
    <row r="29" spans="1:13" ht="15.75" customHeight="1">
      <c r="A29" s="142" t="s">
        <v>387</v>
      </c>
      <c r="B29" s="262">
        <v>32</v>
      </c>
      <c r="C29" s="68">
        <v>7</v>
      </c>
      <c r="D29" s="68">
        <v>3</v>
      </c>
      <c r="E29" s="68">
        <v>4</v>
      </c>
      <c r="F29" s="68">
        <v>3</v>
      </c>
      <c r="G29" s="68">
        <v>4</v>
      </c>
      <c r="H29" s="68">
        <v>0</v>
      </c>
      <c r="I29" s="68">
        <v>3</v>
      </c>
      <c r="J29" s="68">
        <v>5</v>
      </c>
      <c r="K29" s="68">
        <v>1</v>
      </c>
      <c r="L29" s="68">
        <v>2</v>
      </c>
      <c r="M29" s="68">
        <v>0</v>
      </c>
    </row>
    <row r="30" spans="1:13" ht="15.75" customHeight="1">
      <c r="A30" s="142" t="s">
        <v>388</v>
      </c>
      <c r="B30" s="262">
        <v>52</v>
      </c>
      <c r="C30" s="68">
        <v>9</v>
      </c>
      <c r="D30" s="68">
        <v>5</v>
      </c>
      <c r="E30" s="68">
        <v>10</v>
      </c>
      <c r="F30" s="68">
        <v>1</v>
      </c>
      <c r="G30" s="68">
        <v>8</v>
      </c>
      <c r="H30" s="68">
        <v>1</v>
      </c>
      <c r="I30" s="68">
        <v>4</v>
      </c>
      <c r="J30" s="68">
        <v>2</v>
      </c>
      <c r="K30" s="68">
        <v>4</v>
      </c>
      <c r="L30" s="68">
        <v>7</v>
      </c>
      <c r="M30" s="68">
        <v>1</v>
      </c>
    </row>
    <row r="31" spans="1:13" ht="15.75" customHeight="1">
      <c r="A31" s="142" t="s">
        <v>389</v>
      </c>
      <c r="B31" s="262">
        <v>8</v>
      </c>
      <c r="C31" s="68">
        <v>1</v>
      </c>
      <c r="D31" s="68">
        <v>2</v>
      </c>
      <c r="E31" s="68">
        <v>1</v>
      </c>
      <c r="F31" s="68">
        <v>0</v>
      </c>
      <c r="G31" s="68">
        <v>1</v>
      </c>
      <c r="H31" s="68">
        <v>0</v>
      </c>
      <c r="I31" s="68">
        <v>1</v>
      </c>
      <c r="J31" s="68">
        <v>0</v>
      </c>
      <c r="K31" s="68">
        <v>1</v>
      </c>
      <c r="L31" s="68">
        <v>0</v>
      </c>
      <c r="M31" s="68">
        <v>1</v>
      </c>
    </row>
    <row r="32" spans="1:13" ht="15.75" customHeight="1">
      <c r="A32" s="142" t="s">
        <v>390</v>
      </c>
      <c r="B32" s="262">
        <v>10</v>
      </c>
      <c r="C32" s="68">
        <v>2</v>
      </c>
      <c r="D32" s="68">
        <v>1</v>
      </c>
      <c r="E32" s="68">
        <v>2</v>
      </c>
      <c r="F32" s="68">
        <v>1</v>
      </c>
      <c r="G32" s="68">
        <v>2</v>
      </c>
      <c r="H32" s="68">
        <v>1</v>
      </c>
      <c r="I32" s="68">
        <v>0</v>
      </c>
      <c r="J32" s="68">
        <v>1</v>
      </c>
      <c r="K32" s="68">
        <v>0</v>
      </c>
      <c r="L32" s="68">
        <v>0</v>
      </c>
      <c r="M32" s="68">
        <v>0</v>
      </c>
    </row>
    <row r="33" spans="1:13" ht="15.75" customHeight="1">
      <c r="A33" s="142" t="s">
        <v>391</v>
      </c>
      <c r="B33" s="262">
        <v>11</v>
      </c>
      <c r="C33" s="68">
        <v>3</v>
      </c>
      <c r="D33" s="68">
        <v>3</v>
      </c>
      <c r="E33" s="68">
        <v>1</v>
      </c>
      <c r="F33" s="68">
        <v>0</v>
      </c>
      <c r="G33" s="68">
        <v>1</v>
      </c>
      <c r="H33" s="68">
        <v>0</v>
      </c>
      <c r="I33" s="68">
        <v>1</v>
      </c>
      <c r="J33" s="68">
        <v>0</v>
      </c>
      <c r="K33" s="68">
        <v>0</v>
      </c>
      <c r="L33" s="68">
        <v>2</v>
      </c>
      <c r="M33" s="68">
        <v>0</v>
      </c>
    </row>
    <row r="34" spans="1:13" ht="15.75" customHeight="1">
      <c r="A34" s="142" t="s">
        <v>392</v>
      </c>
      <c r="B34" s="262">
        <v>24</v>
      </c>
      <c r="C34" s="68">
        <v>4</v>
      </c>
      <c r="D34" s="68">
        <v>3</v>
      </c>
      <c r="E34" s="68">
        <v>3</v>
      </c>
      <c r="F34" s="68">
        <v>2</v>
      </c>
      <c r="G34" s="68">
        <v>4</v>
      </c>
      <c r="H34" s="68">
        <v>0</v>
      </c>
      <c r="I34" s="68">
        <v>1</v>
      </c>
      <c r="J34" s="68">
        <v>5</v>
      </c>
      <c r="K34" s="68">
        <v>1</v>
      </c>
      <c r="L34" s="68">
        <v>0</v>
      </c>
      <c r="M34" s="68">
        <v>1</v>
      </c>
    </row>
    <row r="35" spans="1:13" ht="15.75" customHeight="1">
      <c r="A35" s="142" t="s">
        <v>393</v>
      </c>
      <c r="B35" s="262">
        <v>12</v>
      </c>
      <c r="C35" s="68">
        <v>3</v>
      </c>
      <c r="D35" s="68">
        <v>0</v>
      </c>
      <c r="E35" s="68">
        <v>2</v>
      </c>
      <c r="F35" s="68">
        <v>0</v>
      </c>
      <c r="G35" s="68">
        <v>4</v>
      </c>
      <c r="H35" s="68">
        <v>0</v>
      </c>
      <c r="I35" s="68">
        <v>0</v>
      </c>
      <c r="J35" s="68">
        <v>0</v>
      </c>
      <c r="K35" s="68">
        <v>0</v>
      </c>
      <c r="L35" s="68">
        <v>2</v>
      </c>
      <c r="M35" s="68">
        <v>1</v>
      </c>
    </row>
    <row r="36" spans="1:13" ht="15.75" customHeight="1">
      <c r="A36" s="142" t="s">
        <v>394</v>
      </c>
      <c r="B36" s="262">
        <v>40</v>
      </c>
      <c r="C36" s="68">
        <v>4</v>
      </c>
      <c r="D36" s="68">
        <v>7</v>
      </c>
      <c r="E36" s="68">
        <v>5</v>
      </c>
      <c r="F36" s="68">
        <v>2</v>
      </c>
      <c r="G36" s="68">
        <v>7</v>
      </c>
      <c r="H36" s="68">
        <v>0</v>
      </c>
      <c r="I36" s="68">
        <v>4</v>
      </c>
      <c r="J36" s="68">
        <v>4</v>
      </c>
      <c r="K36" s="68">
        <v>2</v>
      </c>
      <c r="L36" s="68">
        <v>3</v>
      </c>
      <c r="M36" s="68">
        <v>2</v>
      </c>
    </row>
    <row r="37" spans="1:13" ht="15.75" customHeight="1">
      <c r="A37" s="142" t="s">
        <v>395</v>
      </c>
      <c r="B37" s="262">
        <v>25</v>
      </c>
      <c r="C37" s="68">
        <v>1</v>
      </c>
      <c r="D37" s="68">
        <v>4</v>
      </c>
      <c r="E37" s="68">
        <v>9</v>
      </c>
      <c r="F37" s="68">
        <v>2</v>
      </c>
      <c r="G37" s="68">
        <v>2</v>
      </c>
      <c r="H37" s="68">
        <v>0</v>
      </c>
      <c r="I37" s="68">
        <v>3</v>
      </c>
      <c r="J37" s="68">
        <v>0</v>
      </c>
      <c r="K37" s="68">
        <v>3</v>
      </c>
      <c r="L37" s="68">
        <v>0</v>
      </c>
      <c r="M37" s="68">
        <v>1</v>
      </c>
    </row>
    <row r="38" spans="1:13" ht="15.75" customHeight="1">
      <c r="A38" s="142" t="s">
        <v>396</v>
      </c>
      <c r="B38" s="262">
        <v>59</v>
      </c>
      <c r="C38" s="68">
        <v>6</v>
      </c>
      <c r="D38" s="68">
        <v>6</v>
      </c>
      <c r="E38" s="68">
        <v>10</v>
      </c>
      <c r="F38" s="68">
        <v>0</v>
      </c>
      <c r="G38" s="68">
        <v>11</v>
      </c>
      <c r="H38" s="68">
        <v>1</v>
      </c>
      <c r="I38" s="68">
        <v>11</v>
      </c>
      <c r="J38" s="68">
        <v>5</v>
      </c>
      <c r="K38" s="68">
        <v>3</v>
      </c>
      <c r="L38" s="68">
        <v>4</v>
      </c>
      <c r="M38" s="68">
        <v>2</v>
      </c>
    </row>
    <row r="39" spans="1:13" ht="15.75" customHeight="1">
      <c r="A39" s="142" t="s">
        <v>397</v>
      </c>
      <c r="B39" s="262">
        <v>111</v>
      </c>
      <c r="C39" s="68">
        <v>14</v>
      </c>
      <c r="D39" s="68">
        <v>20</v>
      </c>
      <c r="E39" s="68">
        <v>18</v>
      </c>
      <c r="F39" s="68">
        <v>9</v>
      </c>
      <c r="G39" s="68">
        <v>14</v>
      </c>
      <c r="H39" s="68">
        <v>3</v>
      </c>
      <c r="I39" s="68">
        <v>10</v>
      </c>
      <c r="J39" s="68">
        <v>9</v>
      </c>
      <c r="K39" s="68">
        <v>3</v>
      </c>
      <c r="L39" s="68">
        <v>8</v>
      </c>
      <c r="M39" s="68">
        <v>3</v>
      </c>
    </row>
    <row r="40" spans="1:13" ht="15.75" customHeight="1">
      <c r="A40" s="142" t="s">
        <v>398</v>
      </c>
      <c r="B40" s="262">
        <v>50</v>
      </c>
      <c r="C40" s="68">
        <v>5</v>
      </c>
      <c r="D40" s="68">
        <v>6</v>
      </c>
      <c r="E40" s="68">
        <v>8</v>
      </c>
      <c r="F40" s="68">
        <v>2</v>
      </c>
      <c r="G40" s="68">
        <v>6</v>
      </c>
      <c r="H40" s="68">
        <v>0</v>
      </c>
      <c r="I40" s="68">
        <v>11</v>
      </c>
      <c r="J40" s="68">
        <v>5</v>
      </c>
      <c r="K40" s="68">
        <v>1</v>
      </c>
      <c r="L40" s="68">
        <v>4</v>
      </c>
      <c r="M40" s="68">
        <v>2</v>
      </c>
    </row>
    <row r="41" spans="1:13" ht="15.75" customHeight="1">
      <c r="A41" s="142" t="s">
        <v>399</v>
      </c>
      <c r="B41" s="262">
        <v>9</v>
      </c>
      <c r="C41" s="68">
        <v>2</v>
      </c>
      <c r="D41" s="68">
        <v>1</v>
      </c>
      <c r="E41" s="68">
        <v>1</v>
      </c>
      <c r="F41" s="68">
        <v>1</v>
      </c>
      <c r="G41" s="68">
        <v>1</v>
      </c>
      <c r="H41" s="68">
        <v>0</v>
      </c>
      <c r="I41" s="68">
        <v>1</v>
      </c>
      <c r="J41" s="68">
        <v>1</v>
      </c>
      <c r="K41" s="68">
        <v>1</v>
      </c>
      <c r="L41" s="68">
        <v>0</v>
      </c>
      <c r="M41" s="68">
        <v>0</v>
      </c>
    </row>
    <row r="42" spans="1:13" ht="15.75" customHeight="1">
      <c r="A42" s="142" t="s">
        <v>400</v>
      </c>
      <c r="B42" s="262">
        <v>27</v>
      </c>
      <c r="C42" s="68">
        <v>4</v>
      </c>
      <c r="D42" s="68">
        <v>3</v>
      </c>
      <c r="E42" s="68">
        <v>3</v>
      </c>
      <c r="F42" s="68">
        <v>1</v>
      </c>
      <c r="G42" s="68">
        <v>5</v>
      </c>
      <c r="H42" s="68">
        <v>0</v>
      </c>
      <c r="I42" s="68">
        <v>3</v>
      </c>
      <c r="J42" s="68">
        <v>2</v>
      </c>
      <c r="K42" s="68">
        <v>4</v>
      </c>
      <c r="L42" s="68">
        <v>2</v>
      </c>
      <c r="M42" s="68">
        <v>0</v>
      </c>
    </row>
    <row r="43" spans="1:13" ht="15.75" customHeight="1" thickBot="1">
      <c r="A43" s="144" t="s">
        <v>402</v>
      </c>
      <c r="B43" s="263">
        <v>18</v>
      </c>
      <c r="C43" s="83">
        <v>3</v>
      </c>
      <c r="D43" s="83">
        <v>1</v>
      </c>
      <c r="E43" s="83">
        <v>1</v>
      </c>
      <c r="F43" s="83">
        <v>0</v>
      </c>
      <c r="G43" s="83">
        <v>6</v>
      </c>
      <c r="H43" s="83">
        <v>1</v>
      </c>
      <c r="I43" s="83">
        <v>3</v>
      </c>
      <c r="J43" s="83">
        <v>3</v>
      </c>
      <c r="K43" s="83">
        <v>0</v>
      </c>
      <c r="L43" s="83">
        <v>0</v>
      </c>
      <c r="M43" s="83">
        <v>0</v>
      </c>
    </row>
    <row r="44" spans="1:13" ht="15" customHeight="1">
      <c r="A44" s="391" t="s">
        <v>635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</row>
  </sheetData>
  <sheetProtection/>
  <mergeCells count="5">
    <mergeCell ref="A1:M1"/>
    <mergeCell ref="A2:M2"/>
    <mergeCell ref="A3:M3"/>
    <mergeCell ref="C4:M4"/>
    <mergeCell ref="A44:M44"/>
  </mergeCells>
  <printOptions/>
  <pageMargins left="0.7" right="0.7" top="0.787401575" bottom="0.7874015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="85" zoomScaleNormal="85" zoomScalePageLayoutView="0" workbookViewId="0" topLeftCell="A1">
      <selection activeCell="H36" sqref="H36"/>
    </sheetView>
  </sheetViews>
  <sheetFormatPr defaultColWidth="11.421875" defaultRowHeight="12.75"/>
  <cols>
    <col min="1" max="1" width="24.28125" style="140" bestFit="1" customWidth="1"/>
    <col min="2" max="2" width="7.57421875" style="140" bestFit="1" customWidth="1"/>
    <col min="3" max="3" width="8.28125" style="140" bestFit="1" customWidth="1"/>
    <col min="4" max="4" width="9.421875" style="140" bestFit="1" customWidth="1"/>
    <col min="5" max="5" width="9.57421875" style="140" bestFit="1" customWidth="1"/>
    <col min="6" max="6" width="14.421875" style="140" bestFit="1" customWidth="1"/>
    <col min="7" max="7" width="9.57421875" style="140" bestFit="1" customWidth="1"/>
    <col min="8" max="8" width="10.140625" style="140" bestFit="1" customWidth="1"/>
    <col min="9" max="9" width="9.57421875" style="140" bestFit="1" customWidth="1"/>
    <col min="10" max="10" width="9.421875" style="140" bestFit="1" customWidth="1"/>
    <col min="11" max="11" width="10.57421875" style="140" bestFit="1" customWidth="1"/>
    <col min="12" max="12" width="9.7109375" style="140" bestFit="1" customWidth="1"/>
    <col min="13" max="13" width="15.7109375" style="140" bestFit="1" customWidth="1"/>
    <col min="14" max="16384" width="11.421875" style="140" customWidth="1"/>
  </cols>
  <sheetData>
    <row r="1" spans="1:13" ht="18" customHeight="1">
      <c r="A1" s="407" t="s">
        <v>420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5.75" customHeight="1">
      <c r="A2" s="416" t="s">
        <v>528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5.75" customHeight="1" thickBot="1">
      <c r="A3" s="405" t="s">
        <v>491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3" ht="15.75" customHeight="1">
      <c r="A4" s="88"/>
      <c r="B4" s="339" t="s">
        <v>134</v>
      </c>
      <c r="C4" s="411" t="s">
        <v>122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15.75" customHeight="1">
      <c r="A5" s="88"/>
      <c r="B5" s="351"/>
      <c r="C5" s="349" t="s">
        <v>123</v>
      </c>
      <c r="D5" s="349" t="s">
        <v>124</v>
      </c>
      <c r="E5" s="349" t="s">
        <v>125</v>
      </c>
      <c r="F5" s="349" t="s">
        <v>126</v>
      </c>
      <c r="G5" s="349" t="s">
        <v>127</v>
      </c>
      <c r="H5" s="349" t="s">
        <v>128</v>
      </c>
      <c r="I5" s="349" t="s">
        <v>129</v>
      </c>
      <c r="J5" s="349" t="s">
        <v>130</v>
      </c>
      <c r="K5" s="349" t="s">
        <v>131</v>
      </c>
      <c r="L5" s="349" t="s">
        <v>132</v>
      </c>
      <c r="M5" s="349" t="s">
        <v>133</v>
      </c>
    </row>
    <row r="6" spans="1:13" ht="15.75" customHeight="1">
      <c r="A6" s="141" t="s">
        <v>134</v>
      </c>
      <c r="B6" s="282">
        <v>1553</v>
      </c>
      <c r="C6" s="96">
        <v>314</v>
      </c>
      <c r="D6" s="96">
        <v>254</v>
      </c>
      <c r="E6" s="96">
        <v>143</v>
      </c>
      <c r="F6" s="96">
        <v>41</v>
      </c>
      <c r="G6" s="96">
        <v>216</v>
      </c>
      <c r="H6" s="96">
        <v>7</v>
      </c>
      <c r="I6" s="96">
        <v>217</v>
      </c>
      <c r="J6" s="96">
        <v>199</v>
      </c>
      <c r="K6" s="96">
        <v>71</v>
      </c>
      <c r="L6" s="96">
        <v>62</v>
      </c>
      <c r="M6" s="96">
        <v>29</v>
      </c>
    </row>
    <row r="7" spans="1:13" ht="15.75" customHeight="1">
      <c r="A7" s="141" t="s">
        <v>136</v>
      </c>
      <c r="B7" s="282">
        <v>889</v>
      </c>
      <c r="C7" s="96">
        <v>161</v>
      </c>
      <c r="D7" s="96">
        <v>149</v>
      </c>
      <c r="E7" s="96">
        <v>98</v>
      </c>
      <c r="F7" s="96">
        <v>33</v>
      </c>
      <c r="G7" s="96">
        <v>135</v>
      </c>
      <c r="H7" s="96">
        <v>6</v>
      </c>
      <c r="I7" s="96">
        <v>80</v>
      </c>
      <c r="J7" s="96">
        <v>108</v>
      </c>
      <c r="K7" s="96">
        <v>41</v>
      </c>
      <c r="L7" s="96">
        <v>54</v>
      </c>
      <c r="M7" s="96">
        <v>24</v>
      </c>
    </row>
    <row r="8" spans="1:13" ht="15.75" customHeight="1">
      <c r="A8" s="86" t="s">
        <v>261</v>
      </c>
      <c r="B8" s="282">
        <v>16</v>
      </c>
      <c r="C8" s="96">
        <v>3</v>
      </c>
      <c r="D8" s="96">
        <v>2</v>
      </c>
      <c r="E8" s="96">
        <v>2</v>
      </c>
      <c r="F8" s="96">
        <v>0</v>
      </c>
      <c r="G8" s="96">
        <v>1</v>
      </c>
      <c r="H8" s="96">
        <v>0</v>
      </c>
      <c r="I8" s="96">
        <v>1</v>
      </c>
      <c r="J8" s="96">
        <v>3</v>
      </c>
      <c r="K8" s="96">
        <v>2</v>
      </c>
      <c r="L8" s="96">
        <v>2</v>
      </c>
      <c r="M8" s="96">
        <v>0</v>
      </c>
    </row>
    <row r="9" spans="1:13" ht="15.75" customHeight="1">
      <c r="A9" s="142" t="s">
        <v>148</v>
      </c>
      <c r="B9" s="283">
        <v>4</v>
      </c>
      <c r="C9" s="94">
        <v>1</v>
      </c>
      <c r="D9" s="94">
        <v>1</v>
      </c>
      <c r="E9" s="94">
        <v>1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1</v>
      </c>
      <c r="L9" s="94">
        <v>0</v>
      </c>
      <c r="M9" s="94">
        <v>0</v>
      </c>
    </row>
    <row r="10" spans="1:13" ht="15.75" customHeight="1">
      <c r="A10" s="142" t="s">
        <v>153</v>
      </c>
      <c r="B10" s="283">
        <v>2</v>
      </c>
      <c r="C10" s="94">
        <v>1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1</v>
      </c>
      <c r="K10" s="94">
        <v>0</v>
      </c>
      <c r="L10" s="94">
        <v>0</v>
      </c>
      <c r="M10" s="94">
        <v>0</v>
      </c>
    </row>
    <row r="11" spans="1:13" ht="15.75" customHeight="1">
      <c r="A11" s="142" t="s">
        <v>162</v>
      </c>
      <c r="B11" s="283">
        <v>1</v>
      </c>
      <c r="C11" s="94">
        <v>0</v>
      </c>
      <c r="D11" s="94">
        <v>1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</row>
    <row r="12" spans="1:13" ht="15.75" customHeight="1">
      <c r="A12" s="142" t="s">
        <v>157</v>
      </c>
      <c r="B12" s="283">
        <v>7</v>
      </c>
      <c r="C12" s="94">
        <v>1</v>
      </c>
      <c r="D12" s="94">
        <v>0</v>
      </c>
      <c r="E12" s="94">
        <v>1</v>
      </c>
      <c r="F12" s="94">
        <v>0</v>
      </c>
      <c r="G12" s="94">
        <v>1</v>
      </c>
      <c r="H12" s="94">
        <v>0</v>
      </c>
      <c r="I12" s="94">
        <v>1</v>
      </c>
      <c r="J12" s="94">
        <v>2</v>
      </c>
      <c r="K12" s="94">
        <v>0</v>
      </c>
      <c r="L12" s="94">
        <v>1</v>
      </c>
      <c r="M12" s="94">
        <v>0</v>
      </c>
    </row>
    <row r="13" spans="1:13" ht="15.75" customHeight="1">
      <c r="A13" s="142" t="s">
        <v>164</v>
      </c>
      <c r="B13" s="283">
        <v>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1</v>
      </c>
      <c r="L13" s="94">
        <v>0</v>
      </c>
      <c r="M13" s="94">
        <v>0</v>
      </c>
    </row>
    <row r="14" spans="1:13" ht="15.75" customHeight="1">
      <c r="A14" s="143" t="s">
        <v>166</v>
      </c>
      <c r="B14" s="283">
        <v>1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1</v>
      </c>
      <c r="M14" s="94">
        <v>0</v>
      </c>
    </row>
    <row r="15" spans="1:13" ht="15.75" customHeight="1">
      <c r="A15" s="86" t="s">
        <v>276</v>
      </c>
      <c r="B15" s="282">
        <v>573</v>
      </c>
      <c r="C15" s="96">
        <v>128</v>
      </c>
      <c r="D15" s="96">
        <v>91</v>
      </c>
      <c r="E15" s="96">
        <v>36</v>
      </c>
      <c r="F15" s="96">
        <v>5</v>
      </c>
      <c r="G15" s="96">
        <v>66</v>
      </c>
      <c r="H15" s="96">
        <v>1</v>
      </c>
      <c r="I15" s="96">
        <v>130</v>
      </c>
      <c r="J15" s="96">
        <v>83</v>
      </c>
      <c r="K15" s="96">
        <v>23</v>
      </c>
      <c r="L15" s="96">
        <v>5</v>
      </c>
      <c r="M15" s="96">
        <v>5</v>
      </c>
    </row>
    <row r="16" spans="1:13" ht="15.75" customHeight="1">
      <c r="A16" s="142" t="s">
        <v>161</v>
      </c>
      <c r="B16" s="283">
        <v>118</v>
      </c>
      <c r="C16" s="94">
        <v>30</v>
      </c>
      <c r="D16" s="94">
        <v>15</v>
      </c>
      <c r="E16" s="94">
        <v>4</v>
      </c>
      <c r="F16" s="94">
        <v>0</v>
      </c>
      <c r="G16" s="94">
        <v>15</v>
      </c>
      <c r="H16" s="94">
        <v>0</v>
      </c>
      <c r="I16" s="94">
        <v>32</v>
      </c>
      <c r="J16" s="94">
        <v>19</v>
      </c>
      <c r="K16" s="94">
        <v>2</v>
      </c>
      <c r="L16" s="94">
        <v>1</v>
      </c>
      <c r="M16" s="94">
        <v>0</v>
      </c>
    </row>
    <row r="17" spans="1:13" ht="15.75" customHeight="1">
      <c r="A17" s="142" t="s">
        <v>240</v>
      </c>
      <c r="B17" s="283">
        <v>143</v>
      </c>
      <c r="C17" s="94">
        <v>44</v>
      </c>
      <c r="D17" s="94">
        <v>20</v>
      </c>
      <c r="E17" s="94">
        <v>8</v>
      </c>
      <c r="F17" s="94">
        <v>1</v>
      </c>
      <c r="G17" s="94">
        <v>17</v>
      </c>
      <c r="H17" s="94">
        <v>0</v>
      </c>
      <c r="I17" s="94">
        <v>34</v>
      </c>
      <c r="J17" s="94">
        <v>10</v>
      </c>
      <c r="K17" s="94">
        <v>5</v>
      </c>
      <c r="L17" s="94">
        <v>4</v>
      </c>
      <c r="M17" s="94">
        <v>0</v>
      </c>
    </row>
    <row r="18" spans="1:13" ht="15.75" customHeight="1">
      <c r="A18" s="142" t="s">
        <v>163</v>
      </c>
      <c r="B18" s="283">
        <v>48</v>
      </c>
      <c r="C18" s="94">
        <v>12</v>
      </c>
      <c r="D18" s="94">
        <v>5</v>
      </c>
      <c r="E18" s="94">
        <v>7</v>
      </c>
      <c r="F18" s="94">
        <v>0</v>
      </c>
      <c r="G18" s="94">
        <v>6</v>
      </c>
      <c r="H18" s="94">
        <v>0</v>
      </c>
      <c r="I18" s="94">
        <v>7</v>
      </c>
      <c r="J18" s="94">
        <v>11</v>
      </c>
      <c r="K18" s="94">
        <v>0</v>
      </c>
      <c r="L18" s="94">
        <v>0</v>
      </c>
      <c r="M18" s="94">
        <v>0</v>
      </c>
    </row>
    <row r="19" spans="1:13" ht="15.75" customHeight="1">
      <c r="A19" s="142" t="s">
        <v>245</v>
      </c>
      <c r="B19" s="283">
        <v>94</v>
      </c>
      <c r="C19" s="94">
        <v>19</v>
      </c>
      <c r="D19" s="94">
        <v>25</v>
      </c>
      <c r="E19" s="94">
        <v>13</v>
      </c>
      <c r="F19" s="94">
        <v>2</v>
      </c>
      <c r="G19" s="94">
        <v>12</v>
      </c>
      <c r="H19" s="94">
        <v>0</v>
      </c>
      <c r="I19" s="94">
        <v>9</v>
      </c>
      <c r="J19" s="94">
        <v>9</v>
      </c>
      <c r="K19" s="94">
        <v>3</v>
      </c>
      <c r="L19" s="94">
        <v>0</v>
      </c>
      <c r="M19" s="94">
        <v>2</v>
      </c>
    </row>
    <row r="20" spans="1:13" ht="15.75" customHeight="1">
      <c r="A20" s="142" t="s">
        <v>165</v>
      </c>
      <c r="B20" s="283">
        <v>162</v>
      </c>
      <c r="C20" s="94">
        <v>22</v>
      </c>
      <c r="D20" s="94">
        <v>25</v>
      </c>
      <c r="E20" s="94">
        <v>2</v>
      </c>
      <c r="F20" s="94">
        <v>2</v>
      </c>
      <c r="G20" s="94">
        <v>15</v>
      </c>
      <c r="H20" s="94">
        <v>0</v>
      </c>
      <c r="I20" s="94">
        <v>47</v>
      </c>
      <c r="J20" s="94">
        <v>33</v>
      </c>
      <c r="K20" s="94">
        <v>13</v>
      </c>
      <c r="L20" s="94">
        <v>0</v>
      </c>
      <c r="M20" s="94">
        <v>3</v>
      </c>
    </row>
    <row r="21" spans="1:13" ht="15.75" customHeight="1">
      <c r="A21" s="143" t="s">
        <v>166</v>
      </c>
      <c r="B21" s="283">
        <v>8</v>
      </c>
      <c r="C21" s="94">
        <v>1</v>
      </c>
      <c r="D21" s="94">
        <v>1</v>
      </c>
      <c r="E21" s="94">
        <v>2</v>
      </c>
      <c r="F21" s="94">
        <v>0</v>
      </c>
      <c r="G21" s="94">
        <v>1</v>
      </c>
      <c r="H21" s="94">
        <v>1</v>
      </c>
      <c r="I21" s="94">
        <v>1</v>
      </c>
      <c r="J21" s="94">
        <v>1</v>
      </c>
      <c r="K21" s="94">
        <v>0</v>
      </c>
      <c r="L21" s="94">
        <v>0</v>
      </c>
      <c r="M21" s="94">
        <v>0</v>
      </c>
    </row>
    <row r="22" spans="1:13" ht="15.75" customHeight="1">
      <c r="A22" s="141" t="s">
        <v>277</v>
      </c>
      <c r="B22" s="282">
        <v>17</v>
      </c>
      <c r="C22" s="96">
        <v>1</v>
      </c>
      <c r="D22" s="96">
        <v>6</v>
      </c>
      <c r="E22" s="96">
        <v>1</v>
      </c>
      <c r="F22" s="96">
        <v>0</v>
      </c>
      <c r="G22" s="96">
        <v>4</v>
      </c>
      <c r="H22" s="96">
        <v>0</v>
      </c>
      <c r="I22" s="96">
        <v>3</v>
      </c>
      <c r="J22" s="96">
        <v>1</v>
      </c>
      <c r="K22" s="96">
        <v>1</v>
      </c>
      <c r="L22" s="96">
        <v>0</v>
      </c>
      <c r="M22" s="96">
        <v>0</v>
      </c>
    </row>
    <row r="23" spans="1:13" ht="15.75" customHeight="1">
      <c r="A23" s="86" t="s">
        <v>278</v>
      </c>
      <c r="B23" s="282">
        <v>24</v>
      </c>
      <c r="C23" s="96">
        <v>12</v>
      </c>
      <c r="D23" s="96">
        <v>1</v>
      </c>
      <c r="E23" s="96">
        <v>0</v>
      </c>
      <c r="F23" s="96">
        <v>3</v>
      </c>
      <c r="G23" s="96">
        <v>2</v>
      </c>
      <c r="H23" s="96">
        <v>0</v>
      </c>
      <c r="I23" s="96">
        <v>2</v>
      </c>
      <c r="J23" s="96">
        <v>2</v>
      </c>
      <c r="K23" s="96">
        <v>1</v>
      </c>
      <c r="L23" s="96">
        <v>1</v>
      </c>
      <c r="M23" s="96">
        <v>0</v>
      </c>
    </row>
    <row r="24" spans="1:13" ht="15.75" customHeight="1">
      <c r="A24" s="142" t="s">
        <v>194</v>
      </c>
      <c r="B24" s="283">
        <v>3</v>
      </c>
      <c r="C24" s="94">
        <v>1</v>
      </c>
      <c r="D24" s="94">
        <v>0</v>
      </c>
      <c r="E24" s="94">
        <v>0</v>
      </c>
      <c r="F24" s="94">
        <v>1</v>
      </c>
      <c r="G24" s="94">
        <v>0</v>
      </c>
      <c r="H24" s="94">
        <v>0</v>
      </c>
      <c r="I24" s="94">
        <v>1</v>
      </c>
      <c r="J24" s="94">
        <v>0</v>
      </c>
      <c r="K24" s="94">
        <v>0</v>
      </c>
      <c r="L24" s="94">
        <v>0</v>
      </c>
      <c r="M24" s="94">
        <v>0</v>
      </c>
    </row>
    <row r="25" spans="1:13" ht="15.75" customHeight="1">
      <c r="A25" s="143" t="s">
        <v>172</v>
      </c>
      <c r="B25" s="283">
        <v>7</v>
      </c>
      <c r="C25" s="94">
        <v>4</v>
      </c>
      <c r="D25" s="94">
        <v>0</v>
      </c>
      <c r="E25" s="94">
        <v>0</v>
      </c>
      <c r="F25" s="94">
        <v>2</v>
      </c>
      <c r="G25" s="94">
        <v>0</v>
      </c>
      <c r="H25" s="94">
        <v>0</v>
      </c>
      <c r="I25" s="94">
        <v>0</v>
      </c>
      <c r="J25" s="94">
        <v>1</v>
      </c>
      <c r="K25" s="94">
        <v>0</v>
      </c>
      <c r="L25" s="94">
        <v>0</v>
      </c>
      <c r="M25" s="94">
        <v>0</v>
      </c>
    </row>
    <row r="26" spans="1:13" ht="15.75" customHeight="1">
      <c r="A26" s="142" t="s">
        <v>166</v>
      </c>
      <c r="B26" s="283">
        <v>14</v>
      </c>
      <c r="C26" s="94">
        <v>7</v>
      </c>
      <c r="D26" s="94">
        <v>1</v>
      </c>
      <c r="E26" s="94">
        <v>0</v>
      </c>
      <c r="F26" s="94">
        <v>0</v>
      </c>
      <c r="G26" s="94">
        <v>2</v>
      </c>
      <c r="H26" s="94">
        <v>0</v>
      </c>
      <c r="I26" s="94">
        <v>1</v>
      </c>
      <c r="J26" s="94">
        <v>1</v>
      </c>
      <c r="K26" s="94">
        <v>1</v>
      </c>
      <c r="L26" s="94">
        <v>1</v>
      </c>
      <c r="M26" s="94">
        <v>0</v>
      </c>
    </row>
    <row r="27" spans="1:13" ht="15.75" customHeight="1">
      <c r="A27" s="86" t="s">
        <v>279</v>
      </c>
      <c r="B27" s="282">
        <v>33</v>
      </c>
      <c r="C27" s="96">
        <v>8</v>
      </c>
      <c r="D27" s="96">
        <v>5</v>
      </c>
      <c r="E27" s="96">
        <v>6</v>
      </c>
      <c r="F27" s="96">
        <v>0</v>
      </c>
      <c r="G27" s="96">
        <v>8</v>
      </c>
      <c r="H27" s="96">
        <v>0</v>
      </c>
      <c r="I27" s="96">
        <v>1</v>
      </c>
      <c r="J27" s="96">
        <v>2</v>
      </c>
      <c r="K27" s="96">
        <v>3</v>
      </c>
      <c r="L27" s="96">
        <v>0</v>
      </c>
      <c r="M27" s="96">
        <v>0</v>
      </c>
    </row>
    <row r="28" spans="1:13" ht="15.75" customHeight="1">
      <c r="A28" s="142" t="s">
        <v>281</v>
      </c>
      <c r="B28" s="283">
        <v>15</v>
      </c>
      <c r="C28" s="94">
        <v>1</v>
      </c>
      <c r="D28" s="94">
        <v>4</v>
      </c>
      <c r="E28" s="94">
        <v>5</v>
      </c>
      <c r="F28" s="94">
        <v>0</v>
      </c>
      <c r="G28" s="94">
        <v>5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</row>
    <row r="29" spans="1:13" ht="15.75" customHeight="1">
      <c r="A29" s="142" t="s">
        <v>190</v>
      </c>
      <c r="B29" s="283">
        <v>5</v>
      </c>
      <c r="C29" s="94">
        <v>1</v>
      </c>
      <c r="D29" s="94">
        <v>0</v>
      </c>
      <c r="E29" s="94">
        <v>1</v>
      </c>
      <c r="F29" s="94">
        <v>0</v>
      </c>
      <c r="G29" s="94">
        <v>2</v>
      </c>
      <c r="H29" s="94">
        <v>0</v>
      </c>
      <c r="I29" s="94">
        <v>1</v>
      </c>
      <c r="J29" s="94">
        <v>0</v>
      </c>
      <c r="K29" s="94">
        <v>0</v>
      </c>
      <c r="L29" s="94">
        <v>0</v>
      </c>
      <c r="M29" s="94">
        <v>0</v>
      </c>
    </row>
    <row r="30" spans="1:13" ht="15.75" customHeight="1">
      <c r="A30" s="142" t="s">
        <v>166</v>
      </c>
      <c r="B30" s="283">
        <v>13</v>
      </c>
      <c r="C30" s="94">
        <v>6</v>
      </c>
      <c r="D30" s="94">
        <v>1</v>
      </c>
      <c r="E30" s="94">
        <v>0</v>
      </c>
      <c r="F30" s="94">
        <v>0</v>
      </c>
      <c r="G30" s="94">
        <v>1</v>
      </c>
      <c r="H30" s="94">
        <v>0</v>
      </c>
      <c r="I30" s="94">
        <v>0</v>
      </c>
      <c r="J30" s="94">
        <v>2</v>
      </c>
      <c r="K30" s="94">
        <v>3</v>
      </c>
      <c r="L30" s="94">
        <v>0</v>
      </c>
      <c r="M30" s="94">
        <v>0</v>
      </c>
    </row>
    <row r="31" spans="1:13" ht="15.75" customHeight="1" thickBot="1">
      <c r="A31" s="144" t="s">
        <v>280</v>
      </c>
      <c r="B31" s="284">
        <v>1</v>
      </c>
      <c r="C31" s="95">
        <v>1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</row>
    <row r="32" spans="1:13" ht="15">
      <c r="A32" s="391" t="s">
        <v>635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</row>
  </sheetData>
  <sheetProtection/>
  <mergeCells count="5">
    <mergeCell ref="A1:M1"/>
    <mergeCell ref="A2:M2"/>
    <mergeCell ref="A3:M3"/>
    <mergeCell ref="C4:M4"/>
    <mergeCell ref="A32:M32"/>
  </mergeCells>
  <printOptions/>
  <pageMargins left="0.7" right="0.7" top="0.787401575" bottom="0.7874015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="85" zoomScaleNormal="85" zoomScalePageLayoutView="0" workbookViewId="0" topLeftCell="A1">
      <selection activeCell="G8" sqref="G8"/>
    </sheetView>
  </sheetViews>
  <sheetFormatPr defaultColWidth="11.421875" defaultRowHeight="12.75"/>
  <cols>
    <col min="1" max="1" width="59.421875" style="110" customWidth="1"/>
    <col min="2" max="2" width="6.8515625" style="110" bestFit="1" customWidth="1"/>
    <col min="3" max="3" width="8.8515625" style="110" bestFit="1" customWidth="1"/>
    <col min="4" max="4" width="9.28125" style="110" bestFit="1" customWidth="1"/>
    <col min="5" max="16384" width="11.421875" style="110" customWidth="1"/>
  </cols>
  <sheetData>
    <row r="1" spans="1:6" ht="18" customHeight="1">
      <c r="A1" s="76" t="s">
        <v>510</v>
      </c>
      <c r="B1" s="76"/>
      <c r="C1" s="76"/>
      <c r="D1" s="76"/>
      <c r="E1" s="76"/>
      <c r="F1" s="76"/>
    </row>
    <row r="2" spans="1:4" ht="15.75" customHeight="1">
      <c r="A2" s="413" t="s">
        <v>528</v>
      </c>
      <c r="B2" s="413"/>
      <c r="C2" s="413"/>
      <c r="D2" s="413"/>
    </row>
    <row r="3" spans="1:4" ht="15.75" customHeight="1" thickBot="1">
      <c r="A3" s="414" t="s">
        <v>492</v>
      </c>
      <c r="B3" s="414"/>
      <c r="C3" s="414"/>
      <c r="D3" s="414"/>
    </row>
    <row r="4" spans="1:4" ht="15.75" customHeight="1">
      <c r="A4" s="129"/>
      <c r="B4" s="354" t="s">
        <v>134</v>
      </c>
      <c r="C4" s="415" t="s">
        <v>421</v>
      </c>
      <c r="D4" s="415"/>
    </row>
    <row r="5" spans="1:4" ht="15.75" customHeight="1">
      <c r="A5" s="129"/>
      <c r="B5" s="65"/>
      <c r="C5" s="355" t="s">
        <v>22</v>
      </c>
      <c r="D5" s="355" t="s">
        <v>21</v>
      </c>
    </row>
    <row r="6" spans="1:4" ht="15.75" customHeight="1">
      <c r="A6" s="131" t="s">
        <v>134</v>
      </c>
      <c r="B6" s="285">
        <v>2917</v>
      </c>
      <c r="C6" s="130">
        <v>1495</v>
      </c>
      <c r="D6" s="130">
        <v>1422</v>
      </c>
    </row>
    <row r="7" spans="1:4" ht="15.75" customHeight="1">
      <c r="A7" s="131" t="s">
        <v>363</v>
      </c>
      <c r="B7" s="285">
        <v>1553</v>
      </c>
      <c r="C7" s="96">
        <v>710</v>
      </c>
      <c r="D7" s="96">
        <v>843</v>
      </c>
    </row>
    <row r="8" spans="1:4" ht="15.75" customHeight="1">
      <c r="A8" s="132" t="s">
        <v>364</v>
      </c>
      <c r="B8" s="286">
        <v>4</v>
      </c>
      <c r="C8" s="94">
        <v>1</v>
      </c>
      <c r="D8" s="94">
        <v>3</v>
      </c>
    </row>
    <row r="9" spans="1:4" ht="15.75" customHeight="1">
      <c r="A9" s="132" t="s">
        <v>365</v>
      </c>
      <c r="B9" s="286">
        <v>4</v>
      </c>
      <c r="C9" s="94">
        <v>1</v>
      </c>
      <c r="D9" s="94">
        <v>3</v>
      </c>
    </row>
    <row r="10" spans="1:4" ht="15.75" customHeight="1">
      <c r="A10" s="132" t="s">
        <v>366</v>
      </c>
      <c r="B10" s="286">
        <v>511</v>
      </c>
      <c r="C10" s="94">
        <v>135</v>
      </c>
      <c r="D10" s="94">
        <v>376</v>
      </c>
    </row>
    <row r="11" spans="1:4" ht="15.75" customHeight="1">
      <c r="A11" s="132" t="s">
        <v>367</v>
      </c>
      <c r="B11" s="286">
        <v>3</v>
      </c>
      <c r="C11" s="94">
        <v>0</v>
      </c>
      <c r="D11" s="94">
        <v>3</v>
      </c>
    </row>
    <row r="12" spans="1:4" ht="15.75" customHeight="1">
      <c r="A12" s="132" t="s">
        <v>368</v>
      </c>
      <c r="B12" s="286">
        <v>70</v>
      </c>
      <c r="C12" s="94">
        <v>23</v>
      </c>
      <c r="D12" s="94">
        <v>47</v>
      </c>
    </row>
    <row r="13" spans="1:4" ht="15.75" customHeight="1">
      <c r="A13" s="132" t="s">
        <v>369</v>
      </c>
      <c r="B13" s="286">
        <v>5</v>
      </c>
      <c r="C13" s="94">
        <v>4</v>
      </c>
      <c r="D13" s="94">
        <v>1</v>
      </c>
    </row>
    <row r="14" spans="1:4" ht="15.75" customHeight="1">
      <c r="A14" s="132" t="s">
        <v>370</v>
      </c>
      <c r="B14" s="286">
        <v>22</v>
      </c>
      <c r="C14" s="94">
        <v>4</v>
      </c>
      <c r="D14" s="94">
        <v>18</v>
      </c>
    </row>
    <row r="15" spans="1:4" ht="15.75" customHeight="1">
      <c r="A15" s="132" t="s">
        <v>371</v>
      </c>
      <c r="B15" s="286">
        <v>4</v>
      </c>
      <c r="C15" s="94">
        <v>0</v>
      </c>
      <c r="D15" s="94">
        <v>4</v>
      </c>
    </row>
    <row r="16" spans="1:4" ht="15.75" customHeight="1">
      <c r="A16" s="132" t="s">
        <v>372</v>
      </c>
      <c r="B16" s="286">
        <v>43</v>
      </c>
      <c r="C16" s="94">
        <v>24</v>
      </c>
      <c r="D16" s="94">
        <v>19</v>
      </c>
    </row>
    <row r="17" spans="1:4" ht="15.75" customHeight="1">
      <c r="A17" s="132" t="s">
        <v>373</v>
      </c>
      <c r="B17" s="286">
        <v>63</v>
      </c>
      <c r="C17" s="94">
        <v>14</v>
      </c>
      <c r="D17" s="94">
        <v>49</v>
      </c>
    </row>
    <row r="18" spans="1:4" ht="15.75" customHeight="1">
      <c r="A18" s="132" t="s">
        <v>374</v>
      </c>
      <c r="B18" s="286">
        <v>22</v>
      </c>
      <c r="C18" s="94">
        <v>6</v>
      </c>
      <c r="D18" s="94">
        <v>16</v>
      </c>
    </row>
    <row r="19" spans="1:4" ht="15.75" customHeight="1">
      <c r="A19" s="132" t="s">
        <v>375</v>
      </c>
      <c r="B19" s="286">
        <v>16</v>
      </c>
      <c r="C19" s="94">
        <v>8</v>
      </c>
      <c r="D19" s="94">
        <v>8</v>
      </c>
    </row>
    <row r="20" spans="1:4" ht="15.75" customHeight="1">
      <c r="A20" s="132" t="s">
        <v>376</v>
      </c>
      <c r="B20" s="286">
        <v>50</v>
      </c>
      <c r="C20" s="94">
        <v>17</v>
      </c>
      <c r="D20" s="94">
        <v>33</v>
      </c>
    </row>
    <row r="21" spans="1:4" ht="15.75" customHeight="1">
      <c r="A21" s="132" t="s">
        <v>377</v>
      </c>
      <c r="B21" s="286">
        <v>49</v>
      </c>
      <c r="C21" s="94">
        <v>9</v>
      </c>
      <c r="D21" s="94">
        <v>40</v>
      </c>
    </row>
    <row r="22" spans="1:4" ht="15.75" customHeight="1">
      <c r="A22" s="132" t="s">
        <v>378</v>
      </c>
      <c r="B22" s="286">
        <v>23</v>
      </c>
      <c r="C22" s="94">
        <v>13</v>
      </c>
      <c r="D22" s="94">
        <v>10</v>
      </c>
    </row>
    <row r="23" spans="1:4" ht="15.75" customHeight="1">
      <c r="A23" s="132" t="s">
        <v>379</v>
      </c>
      <c r="B23" s="286">
        <v>13</v>
      </c>
      <c r="C23" s="94">
        <v>3</v>
      </c>
      <c r="D23" s="94">
        <v>10</v>
      </c>
    </row>
    <row r="24" spans="1:4" ht="15.75" customHeight="1">
      <c r="A24" s="132" t="s">
        <v>380</v>
      </c>
      <c r="B24" s="286">
        <v>128</v>
      </c>
      <c r="C24" s="94">
        <v>10</v>
      </c>
      <c r="D24" s="94">
        <v>118</v>
      </c>
    </row>
    <row r="25" spans="1:4" ht="15.75" customHeight="1">
      <c r="A25" s="132" t="s">
        <v>381</v>
      </c>
      <c r="B25" s="286">
        <v>1038</v>
      </c>
      <c r="C25" s="94">
        <v>574</v>
      </c>
      <c r="D25" s="94">
        <v>464</v>
      </c>
    </row>
    <row r="26" spans="1:4" ht="15.75" customHeight="1">
      <c r="A26" s="132" t="s">
        <v>382</v>
      </c>
      <c r="B26" s="286">
        <v>172</v>
      </c>
      <c r="C26" s="94">
        <v>84</v>
      </c>
      <c r="D26" s="94">
        <v>88</v>
      </c>
    </row>
    <row r="27" spans="1:4" ht="15.75" customHeight="1">
      <c r="A27" s="132" t="s">
        <v>383</v>
      </c>
      <c r="B27" s="286">
        <v>61</v>
      </c>
      <c r="C27" s="94">
        <v>16</v>
      </c>
      <c r="D27" s="94">
        <v>45</v>
      </c>
    </row>
    <row r="28" spans="1:4" ht="15.75" customHeight="1">
      <c r="A28" s="132" t="s">
        <v>384</v>
      </c>
      <c r="B28" s="286">
        <v>46</v>
      </c>
      <c r="C28" s="94">
        <v>31</v>
      </c>
      <c r="D28" s="94">
        <v>15</v>
      </c>
    </row>
    <row r="29" spans="1:4" ht="15.75" customHeight="1">
      <c r="A29" s="132" t="s">
        <v>385</v>
      </c>
      <c r="B29" s="286">
        <v>3</v>
      </c>
      <c r="C29" s="94">
        <v>3</v>
      </c>
      <c r="D29" s="94">
        <v>0</v>
      </c>
    </row>
    <row r="30" spans="1:4" ht="15.75" customHeight="1">
      <c r="A30" s="132" t="s">
        <v>386</v>
      </c>
      <c r="B30" s="286">
        <v>4</v>
      </c>
      <c r="C30" s="94">
        <v>1</v>
      </c>
      <c r="D30" s="94">
        <v>3</v>
      </c>
    </row>
    <row r="31" spans="1:4" ht="15.75" customHeight="1">
      <c r="A31" s="132" t="s">
        <v>387</v>
      </c>
      <c r="B31" s="286">
        <v>23</v>
      </c>
      <c r="C31" s="94">
        <v>5</v>
      </c>
      <c r="D31" s="94">
        <v>18</v>
      </c>
    </row>
    <row r="32" spans="1:4" ht="15.75" customHeight="1">
      <c r="A32" s="132" t="s">
        <v>388</v>
      </c>
      <c r="B32" s="286">
        <v>102</v>
      </c>
      <c r="C32" s="94">
        <v>49</v>
      </c>
      <c r="D32" s="94">
        <v>53</v>
      </c>
    </row>
    <row r="33" spans="1:4" ht="15.75" customHeight="1">
      <c r="A33" s="132" t="s">
        <v>389</v>
      </c>
      <c r="B33" s="286">
        <v>13</v>
      </c>
      <c r="C33" s="94">
        <v>5</v>
      </c>
      <c r="D33" s="94">
        <v>8</v>
      </c>
    </row>
    <row r="34" spans="1:4" ht="15.75" customHeight="1">
      <c r="A34" s="132" t="s">
        <v>390</v>
      </c>
      <c r="B34" s="286">
        <v>94</v>
      </c>
      <c r="C34" s="94">
        <v>51</v>
      </c>
      <c r="D34" s="94">
        <v>43</v>
      </c>
    </row>
    <row r="35" spans="1:4" ht="15.75" customHeight="1">
      <c r="A35" s="132" t="s">
        <v>391</v>
      </c>
      <c r="B35" s="286">
        <v>45</v>
      </c>
      <c r="C35" s="94">
        <v>13</v>
      </c>
      <c r="D35" s="94">
        <v>32</v>
      </c>
    </row>
    <row r="36" spans="1:4" ht="15.75" customHeight="1">
      <c r="A36" s="132" t="s">
        <v>392</v>
      </c>
      <c r="B36" s="286">
        <v>30</v>
      </c>
      <c r="C36" s="94">
        <v>11</v>
      </c>
      <c r="D36" s="94">
        <v>19</v>
      </c>
    </row>
    <row r="37" spans="1:4" ht="15.75" customHeight="1">
      <c r="A37" s="132" t="s">
        <v>393</v>
      </c>
      <c r="B37" s="286">
        <v>13</v>
      </c>
      <c r="C37" s="94">
        <v>6</v>
      </c>
      <c r="D37" s="94">
        <v>7</v>
      </c>
    </row>
    <row r="38" spans="1:4" ht="15.75" customHeight="1">
      <c r="A38" s="132" t="s">
        <v>394</v>
      </c>
      <c r="B38" s="286">
        <v>118</v>
      </c>
      <c r="C38" s="94">
        <v>73</v>
      </c>
      <c r="D38" s="94">
        <v>45</v>
      </c>
    </row>
    <row r="39" spans="1:4" ht="15.75" customHeight="1">
      <c r="A39" s="132" t="s">
        <v>395</v>
      </c>
      <c r="B39" s="286">
        <v>60</v>
      </c>
      <c r="C39" s="94">
        <v>34</v>
      </c>
      <c r="D39" s="94">
        <v>26</v>
      </c>
    </row>
    <row r="40" spans="1:4" ht="15.75" customHeight="1">
      <c r="A40" s="132" t="s">
        <v>396</v>
      </c>
      <c r="B40" s="286">
        <v>37</v>
      </c>
      <c r="C40" s="94">
        <v>29</v>
      </c>
      <c r="D40" s="94">
        <v>8</v>
      </c>
    </row>
    <row r="41" spans="1:4" ht="15.75" customHeight="1">
      <c r="A41" s="132" t="s">
        <v>397</v>
      </c>
      <c r="B41" s="286">
        <v>46</v>
      </c>
      <c r="C41" s="94">
        <v>40</v>
      </c>
      <c r="D41" s="94">
        <v>6</v>
      </c>
    </row>
    <row r="42" spans="1:4" ht="15.75" customHeight="1">
      <c r="A42" s="132" t="s">
        <v>398</v>
      </c>
      <c r="B42" s="286">
        <v>87</v>
      </c>
      <c r="C42" s="94">
        <v>64</v>
      </c>
      <c r="D42" s="94">
        <v>23</v>
      </c>
    </row>
    <row r="43" spans="1:4" ht="15.75" customHeight="1">
      <c r="A43" s="132" t="s">
        <v>399</v>
      </c>
      <c r="B43" s="286">
        <v>26</v>
      </c>
      <c r="C43" s="94">
        <v>15</v>
      </c>
      <c r="D43" s="94">
        <v>11</v>
      </c>
    </row>
    <row r="44" spans="1:4" ht="15.75" customHeight="1">
      <c r="A44" s="132" t="s">
        <v>400</v>
      </c>
      <c r="B44" s="286">
        <v>44</v>
      </c>
      <c r="C44" s="94">
        <v>32</v>
      </c>
      <c r="D44" s="94">
        <v>12</v>
      </c>
    </row>
    <row r="45" spans="1:4" ht="15.75" customHeight="1">
      <c r="A45" s="132" t="s">
        <v>401</v>
      </c>
      <c r="B45" s="286">
        <v>14</v>
      </c>
      <c r="C45" s="94">
        <v>12</v>
      </c>
      <c r="D45" s="94">
        <v>2</v>
      </c>
    </row>
    <row r="46" spans="1:4" ht="15.75" customHeight="1">
      <c r="A46" s="131" t="s">
        <v>403</v>
      </c>
      <c r="B46" s="285">
        <v>42</v>
      </c>
      <c r="C46" s="96">
        <v>16</v>
      </c>
      <c r="D46" s="96">
        <v>26</v>
      </c>
    </row>
    <row r="47" spans="1:4" ht="15.75" customHeight="1">
      <c r="A47" s="131" t="s">
        <v>509</v>
      </c>
      <c r="B47" s="285">
        <v>223</v>
      </c>
      <c r="C47" s="96">
        <v>179</v>
      </c>
      <c r="D47" s="96">
        <v>44</v>
      </c>
    </row>
    <row r="48" spans="1:4" ht="15.75" customHeight="1">
      <c r="A48" s="131" t="s">
        <v>405</v>
      </c>
      <c r="B48" s="285">
        <v>187</v>
      </c>
      <c r="C48" s="96">
        <v>100</v>
      </c>
      <c r="D48" s="96">
        <v>87</v>
      </c>
    </row>
    <row r="49" spans="1:13" ht="15.75" customHeight="1" thickBot="1">
      <c r="A49" s="135" t="s">
        <v>406</v>
      </c>
      <c r="B49" s="287">
        <v>912</v>
      </c>
      <c r="C49" s="97">
        <v>490</v>
      </c>
      <c r="D49" s="97">
        <v>422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391" t="s">
        <v>635</v>
      </c>
      <c r="B50" s="391"/>
      <c r="C50" s="391"/>
      <c r="D50" s="391"/>
      <c r="E50" s="181"/>
      <c r="F50" s="181"/>
      <c r="G50" s="181"/>
      <c r="H50" s="181"/>
      <c r="I50" s="181"/>
      <c r="J50" s="181"/>
      <c r="K50" s="181"/>
      <c r="L50" s="181"/>
      <c r="M50" s="181"/>
    </row>
  </sheetData>
  <sheetProtection/>
  <mergeCells count="4">
    <mergeCell ref="A2:D2"/>
    <mergeCell ref="A3:D3"/>
    <mergeCell ref="C4:D4"/>
    <mergeCell ref="A50:D50"/>
  </mergeCells>
  <printOptions/>
  <pageMargins left="0.7" right="0.7" top="0.787401575" bottom="0.7874015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="85" zoomScaleNormal="85" zoomScalePageLayoutView="0" workbookViewId="0" topLeftCell="A1">
      <selection activeCell="F40" sqref="F40"/>
    </sheetView>
  </sheetViews>
  <sheetFormatPr defaultColWidth="11.421875" defaultRowHeight="12.75"/>
  <cols>
    <col min="1" max="1" width="24.28125" style="110" customWidth="1"/>
    <col min="2" max="2" width="7.57421875" style="110" bestFit="1" customWidth="1"/>
    <col min="3" max="3" width="8.28125" style="110" bestFit="1" customWidth="1"/>
    <col min="4" max="4" width="9.421875" style="110" bestFit="1" customWidth="1"/>
    <col min="5" max="5" width="9.57421875" style="110" bestFit="1" customWidth="1"/>
    <col min="6" max="6" width="14.421875" style="110" bestFit="1" customWidth="1"/>
    <col min="7" max="7" width="9.57421875" style="110" bestFit="1" customWidth="1"/>
    <col min="8" max="8" width="10.140625" style="110" bestFit="1" customWidth="1"/>
    <col min="9" max="9" width="9.57421875" style="110" bestFit="1" customWidth="1"/>
    <col min="10" max="10" width="9.421875" style="110" bestFit="1" customWidth="1"/>
    <col min="11" max="11" width="10.57421875" style="110" bestFit="1" customWidth="1"/>
    <col min="12" max="12" width="9.7109375" style="110" bestFit="1" customWidth="1"/>
    <col min="13" max="13" width="15.7109375" style="110" bestFit="1" customWidth="1"/>
    <col min="14" max="16384" width="11.421875" style="110" customWidth="1"/>
  </cols>
  <sheetData>
    <row r="1" spans="1:13" ht="18" customHeight="1">
      <c r="A1" s="412" t="s">
        <v>422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5.7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5.75" customHeight="1" thickBot="1">
      <c r="A3" s="414" t="s">
        <v>493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129"/>
      <c r="B4" s="35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129"/>
      <c r="B5" s="65"/>
      <c r="C5" s="355" t="s">
        <v>123</v>
      </c>
      <c r="D5" s="355" t="s">
        <v>124</v>
      </c>
      <c r="E5" s="355" t="s">
        <v>125</v>
      </c>
      <c r="F5" s="355" t="s">
        <v>126</v>
      </c>
      <c r="G5" s="355" t="s">
        <v>127</v>
      </c>
      <c r="H5" s="355" t="s">
        <v>128</v>
      </c>
      <c r="I5" s="355" t="s">
        <v>129</v>
      </c>
      <c r="J5" s="355" t="s">
        <v>130</v>
      </c>
      <c r="K5" s="355" t="s">
        <v>131</v>
      </c>
      <c r="L5" s="355" t="s">
        <v>132</v>
      </c>
      <c r="M5" s="355" t="s">
        <v>133</v>
      </c>
    </row>
    <row r="6" spans="1:13" ht="15.75" customHeight="1">
      <c r="A6" s="131" t="s">
        <v>134</v>
      </c>
      <c r="B6" s="282">
        <v>4002</v>
      </c>
      <c r="C6" s="96">
        <v>591</v>
      </c>
      <c r="D6" s="96">
        <v>576</v>
      </c>
      <c r="E6" s="96">
        <v>423</v>
      </c>
      <c r="F6" s="96">
        <v>176</v>
      </c>
      <c r="G6" s="96">
        <v>758</v>
      </c>
      <c r="H6" s="96">
        <v>45</v>
      </c>
      <c r="I6" s="96">
        <v>451</v>
      </c>
      <c r="J6" s="96">
        <v>524</v>
      </c>
      <c r="K6" s="96">
        <v>175</v>
      </c>
      <c r="L6" s="96">
        <v>202</v>
      </c>
      <c r="M6" s="96">
        <v>81</v>
      </c>
    </row>
    <row r="7" spans="1:13" ht="15.75" customHeight="1">
      <c r="A7" s="131" t="s">
        <v>136</v>
      </c>
      <c r="B7" s="282">
        <v>677</v>
      </c>
      <c r="C7" s="96">
        <v>66</v>
      </c>
      <c r="D7" s="96">
        <v>121</v>
      </c>
      <c r="E7" s="96">
        <v>100</v>
      </c>
      <c r="F7" s="96">
        <v>39</v>
      </c>
      <c r="G7" s="96">
        <v>83</v>
      </c>
      <c r="H7" s="96">
        <v>10</v>
      </c>
      <c r="I7" s="96">
        <v>67</v>
      </c>
      <c r="J7" s="96">
        <v>72</v>
      </c>
      <c r="K7" s="96">
        <v>27</v>
      </c>
      <c r="L7" s="96">
        <v>68</v>
      </c>
      <c r="M7" s="96">
        <v>24</v>
      </c>
    </row>
    <row r="8" spans="1:13" ht="15.75" customHeight="1">
      <c r="A8" s="130" t="s">
        <v>261</v>
      </c>
      <c r="B8" s="282">
        <v>3068</v>
      </c>
      <c r="C8" s="96">
        <v>496</v>
      </c>
      <c r="D8" s="96">
        <v>419</v>
      </c>
      <c r="E8" s="96">
        <v>306</v>
      </c>
      <c r="F8" s="96">
        <v>129</v>
      </c>
      <c r="G8" s="96">
        <v>634</v>
      </c>
      <c r="H8" s="96">
        <v>32</v>
      </c>
      <c r="I8" s="96">
        <v>325</v>
      </c>
      <c r="J8" s="96">
        <v>422</v>
      </c>
      <c r="K8" s="96">
        <v>134</v>
      </c>
      <c r="L8" s="96">
        <v>117</v>
      </c>
      <c r="M8" s="96">
        <v>54</v>
      </c>
    </row>
    <row r="9" spans="1:13" ht="15.75" customHeight="1">
      <c r="A9" s="132" t="s">
        <v>148</v>
      </c>
      <c r="B9" s="283">
        <v>630</v>
      </c>
      <c r="C9" s="94">
        <v>118</v>
      </c>
      <c r="D9" s="94">
        <v>67</v>
      </c>
      <c r="E9" s="94">
        <v>26</v>
      </c>
      <c r="F9" s="94">
        <v>35</v>
      </c>
      <c r="G9" s="94">
        <v>112</v>
      </c>
      <c r="H9" s="94">
        <v>18</v>
      </c>
      <c r="I9" s="94">
        <v>69</v>
      </c>
      <c r="J9" s="94">
        <v>88</v>
      </c>
      <c r="K9" s="94">
        <v>37</v>
      </c>
      <c r="L9" s="94">
        <v>35</v>
      </c>
      <c r="M9" s="94">
        <v>25</v>
      </c>
    </row>
    <row r="10" spans="1:13" ht="15.75" customHeight="1">
      <c r="A10" s="132" t="s">
        <v>150</v>
      </c>
      <c r="B10" s="283">
        <v>30</v>
      </c>
      <c r="C10" s="94">
        <v>6</v>
      </c>
      <c r="D10" s="94">
        <v>5</v>
      </c>
      <c r="E10" s="94">
        <v>2</v>
      </c>
      <c r="F10" s="94">
        <v>2</v>
      </c>
      <c r="G10" s="94">
        <v>6</v>
      </c>
      <c r="H10" s="94">
        <v>0</v>
      </c>
      <c r="I10" s="94">
        <v>2</v>
      </c>
      <c r="J10" s="94">
        <v>5</v>
      </c>
      <c r="K10" s="94">
        <v>2</v>
      </c>
      <c r="L10" s="94">
        <v>0</v>
      </c>
      <c r="M10" s="94">
        <v>0</v>
      </c>
    </row>
    <row r="11" spans="1:13" ht="15.75" customHeight="1">
      <c r="A11" s="132" t="s">
        <v>151</v>
      </c>
      <c r="B11" s="283">
        <v>15</v>
      </c>
      <c r="C11" s="94">
        <v>0</v>
      </c>
      <c r="D11" s="94">
        <v>1</v>
      </c>
      <c r="E11" s="94">
        <v>0</v>
      </c>
      <c r="F11" s="94">
        <v>0</v>
      </c>
      <c r="G11" s="94">
        <v>12</v>
      </c>
      <c r="H11" s="94">
        <v>0</v>
      </c>
      <c r="I11" s="94">
        <v>2</v>
      </c>
      <c r="J11" s="94">
        <v>0</v>
      </c>
      <c r="K11" s="94">
        <v>0</v>
      </c>
      <c r="L11" s="94">
        <v>0</v>
      </c>
      <c r="M11" s="94">
        <v>0</v>
      </c>
    </row>
    <row r="12" spans="1:13" ht="15.75" customHeight="1">
      <c r="A12" s="132" t="s">
        <v>167</v>
      </c>
      <c r="B12" s="283">
        <v>24</v>
      </c>
      <c r="C12" s="94">
        <v>7</v>
      </c>
      <c r="D12" s="94">
        <v>5</v>
      </c>
      <c r="E12" s="94">
        <v>2</v>
      </c>
      <c r="F12" s="94">
        <v>1</v>
      </c>
      <c r="G12" s="94">
        <v>3</v>
      </c>
      <c r="H12" s="94">
        <v>0</v>
      </c>
      <c r="I12" s="94">
        <v>2</v>
      </c>
      <c r="J12" s="94">
        <v>2</v>
      </c>
      <c r="K12" s="94">
        <v>1</v>
      </c>
      <c r="L12" s="94">
        <v>1</v>
      </c>
      <c r="M12" s="94">
        <v>0</v>
      </c>
    </row>
    <row r="13" spans="1:13" ht="15.75" customHeight="1">
      <c r="A13" s="132" t="s">
        <v>153</v>
      </c>
      <c r="B13" s="283">
        <v>610</v>
      </c>
      <c r="C13" s="94">
        <v>82</v>
      </c>
      <c r="D13" s="94">
        <v>109</v>
      </c>
      <c r="E13" s="94">
        <v>170</v>
      </c>
      <c r="F13" s="94">
        <v>12</v>
      </c>
      <c r="G13" s="94">
        <v>102</v>
      </c>
      <c r="H13" s="94">
        <v>1</v>
      </c>
      <c r="I13" s="94">
        <v>36</v>
      </c>
      <c r="J13" s="94">
        <v>71</v>
      </c>
      <c r="K13" s="94">
        <v>18</v>
      </c>
      <c r="L13" s="94">
        <v>7</v>
      </c>
      <c r="M13" s="94">
        <v>2</v>
      </c>
    </row>
    <row r="14" spans="1:13" ht="15.75" customHeight="1">
      <c r="A14" s="132" t="s">
        <v>162</v>
      </c>
      <c r="B14" s="283">
        <v>60</v>
      </c>
      <c r="C14" s="94">
        <v>6</v>
      </c>
      <c r="D14" s="94">
        <v>5</v>
      </c>
      <c r="E14" s="94">
        <v>0</v>
      </c>
      <c r="F14" s="94">
        <v>4</v>
      </c>
      <c r="G14" s="94">
        <v>23</v>
      </c>
      <c r="H14" s="94">
        <v>0</v>
      </c>
      <c r="I14" s="94">
        <v>12</v>
      </c>
      <c r="J14" s="94">
        <v>8</v>
      </c>
      <c r="K14" s="94">
        <v>0</v>
      </c>
      <c r="L14" s="94">
        <v>2</v>
      </c>
      <c r="M14" s="94">
        <v>0</v>
      </c>
    </row>
    <row r="15" spans="1:13" ht="15.75" customHeight="1">
      <c r="A15" s="132" t="s">
        <v>155</v>
      </c>
      <c r="B15" s="283">
        <v>35</v>
      </c>
      <c r="C15" s="94">
        <v>4</v>
      </c>
      <c r="D15" s="94">
        <v>11</v>
      </c>
      <c r="E15" s="94">
        <v>1</v>
      </c>
      <c r="F15" s="94">
        <v>4</v>
      </c>
      <c r="G15" s="94">
        <v>6</v>
      </c>
      <c r="H15" s="94">
        <v>0</v>
      </c>
      <c r="I15" s="94">
        <v>1</v>
      </c>
      <c r="J15" s="94">
        <v>5</v>
      </c>
      <c r="K15" s="94">
        <v>0</v>
      </c>
      <c r="L15" s="94">
        <v>2</v>
      </c>
      <c r="M15" s="94">
        <v>1</v>
      </c>
    </row>
    <row r="16" spans="1:13" ht="15.75" customHeight="1">
      <c r="A16" s="132" t="s">
        <v>157</v>
      </c>
      <c r="B16" s="283">
        <v>1000</v>
      </c>
      <c r="C16" s="94">
        <v>154</v>
      </c>
      <c r="D16" s="94">
        <v>95</v>
      </c>
      <c r="E16" s="94">
        <v>55</v>
      </c>
      <c r="F16" s="94">
        <v>51</v>
      </c>
      <c r="G16" s="94">
        <v>166</v>
      </c>
      <c r="H16" s="94">
        <v>13</v>
      </c>
      <c r="I16" s="94">
        <v>147</v>
      </c>
      <c r="J16" s="94">
        <v>185</v>
      </c>
      <c r="K16" s="94">
        <v>51</v>
      </c>
      <c r="L16" s="94">
        <v>59</v>
      </c>
      <c r="M16" s="94">
        <v>24</v>
      </c>
    </row>
    <row r="17" spans="1:13" ht="15.75" customHeight="1">
      <c r="A17" s="132" t="s">
        <v>158</v>
      </c>
      <c r="B17" s="283">
        <v>353</v>
      </c>
      <c r="C17" s="94">
        <v>70</v>
      </c>
      <c r="D17" s="94">
        <v>95</v>
      </c>
      <c r="E17" s="94">
        <v>37</v>
      </c>
      <c r="F17" s="94">
        <v>2</v>
      </c>
      <c r="G17" s="94">
        <v>94</v>
      </c>
      <c r="H17" s="94">
        <v>0</v>
      </c>
      <c r="I17" s="94">
        <v>25</v>
      </c>
      <c r="J17" s="94">
        <v>17</v>
      </c>
      <c r="K17" s="94">
        <v>12</v>
      </c>
      <c r="L17" s="94">
        <v>0</v>
      </c>
      <c r="M17" s="94">
        <v>1</v>
      </c>
    </row>
    <row r="18" spans="1:13" ht="15.75" customHeight="1">
      <c r="A18" s="132" t="s">
        <v>164</v>
      </c>
      <c r="B18" s="283">
        <v>14</v>
      </c>
      <c r="C18" s="94">
        <v>2</v>
      </c>
      <c r="D18" s="94">
        <v>0</v>
      </c>
      <c r="E18" s="94">
        <v>0</v>
      </c>
      <c r="F18" s="94">
        <v>0</v>
      </c>
      <c r="G18" s="94">
        <v>3</v>
      </c>
      <c r="H18" s="94">
        <v>0</v>
      </c>
      <c r="I18" s="94">
        <v>5</v>
      </c>
      <c r="J18" s="94">
        <v>1</v>
      </c>
      <c r="K18" s="94">
        <v>2</v>
      </c>
      <c r="L18" s="94">
        <v>1</v>
      </c>
      <c r="M18" s="94">
        <v>0</v>
      </c>
    </row>
    <row r="19" spans="1:13" ht="15.75" customHeight="1">
      <c r="A19" s="132" t="s">
        <v>160</v>
      </c>
      <c r="B19" s="283">
        <v>191</v>
      </c>
      <c r="C19" s="94">
        <v>27</v>
      </c>
      <c r="D19" s="94">
        <v>7</v>
      </c>
      <c r="E19" s="94">
        <v>4</v>
      </c>
      <c r="F19" s="94">
        <v>2</v>
      </c>
      <c r="G19" s="94">
        <v>93</v>
      </c>
      <c r="H19" s="94">
        <v>0</v>
      </c>
      <c r="I19" s="94">
        <v>18</v>
      </c>
      <c r="J19" s="94">
        <v>27</v>
      </c>
      <c r="K19" s="94">
        <v>8</v>
      </c>
      <c r="L19" s="94">
        <v>5</v>
      </c>
      <c r="M19" s="94">
        <v>0</v>
      </c>
    </row>
    <row r="20" spans="1:13" ht="15.75" customHeight="1">
      <c r="A20" s="134" t="s">
        <v>166</v>
      </c>
      <c r="B20" s="283">
        <v>106</v>
      </c>
      <c r="C20" s="94">
        <v>20</v>
      </c>
      <c r="D20" s="94">
        <v>19</v>
      </c>
      <c r="E20" s="94">
        <v>9</v>
      </c>
      <c r="F20" s="94">
        <v>16</v>
      </c>
      <c r="G20" s="94">
        <v>14</v>
      </c>
      <c r="H20" s="94">
        <v>0</v>
      </c>
      <c r="I20" s="94">
        <v>6</v>
      </c>
      <c r="J20" s="94">
        <v>13</v>
      </c>
      <c r="K20" s="94">
        <v>3</v>
      </c>
      <c r="L20" s="94">
        <v>5</v>
      </c>
      <c r="M20" s="94">
        <v>1</v>
      </c>
    </row>
    <row r="21" spans="1:13" ht="15.75" customHeight="1">
      <c r="A21" s="130" t="s">
        <v>276</v>
      </c>
      <c r="B21" s="282">
        <v>129</v>
      </c>
      <c r="C21" s="96">
        <v>14</v>
      </c>
      <c r="D21" s="96">
        <v>24</v>
      </c>
      <c r="E21" s="96">
        <v>8</v>
      </c>
      <c r="F21" s="96">
        <v>1</v>
      </c>
      <c r="G21" s="96">
        <v>12</v>
      </c>
      <c r="H21" s="96">
        <v>0</v>
      </c>
      <c r="I21" s="96">
        <v>39</v>
      </c>
      <c r="J21" s="96">
        <v>16</v>
      </c>
      <c r="K21" s="96">
        <v>8</v>
      </c>
      <c r="L21" s="96">
        <v>7</v>
      </c>
      <c r="M21" s="96">
        <v>0</v>
      </c>
    </row>
    <row r="22" spans="1:13" ht="15.75" customHeight="1">
      <c r="A22" s="132" t="s">
        <v>161</v>
      </c>
      <c r="B22" s="283">
        <v>12</v>
      </c>
      <c r="C22" s="94">
        <v>1</v>
      </c>
      <c r="D22" s="94">
        <v>1</v>
      </c>
      <c r="E22" s="94">
        <v>1</v>
      </c>
      <c r="F22" s="94">
        <v>1</v>
      </c>
      <c r="G22" s="94">
        <v>0</v>
      </c>
      <c r="H22" s="94">
        <v>0</v>
      </c>
      <c r="I22" s="94">
        <v>7</v>
      </c>
      <c r="J22" s="94">
        <v>1</v>
      </c>
      <c r="K22" s="94">
        <v>0</v>
      </c>
      <c r="L22" s="94">
        <v>0</v>
      </c>
      <c r="M22" s="94">
        <v>0</v>
      </c>
    </row>
    <row r="23" spans="1:13" ht="15.75" customHeight="1">
      <c r="A23" s="132" t="s">
        <v>240</v>
      </c>
      <c r="B23" s="283">
        <v>24</v>
      </c>
      <c r="C23" s="94">
        <v>1</v>
      </c>
      <c r="D23" s="94">
        <v>2</v>
      </c>
      <c r="E23" s="94">
        <v>3</v>
      </c>
      <c r="F23" s="94">
        <v>0</v>
      </c>
      <c r="G23" s="94">
        <v>5</v>
      </c>
      <c r="H23" s="94">
        <v>0</v>
      </c>
      <c r="I23" s="94">
        <v>4</v>
      </c>
      <c r="J23" s="94">
        <v>4</v>
      </c>
      <c r="K23" s="94">
        <v>5</v>
      </c>
      <c r="L23" s="94">
        <v>0</v>
      </c>
      <c r="M23" s="94">
        <v>0</v>
      </c>
    </row>
    <row r="24" spans="1:13" ht="15.75" customHeight="1">
      <c r="A24" s="132" t="s">
        <v>163</v>
      </c>
      <c r="B24" s="283">
        <v>7</v>
      </c>
      <c r="C24" s="94">
        <v>0</v>
      </c>
      <c r="D24" s="94">
        <v>3</v>
      </c>
      <c r="E24" s="94">
        <v>1</v>
      </c>
      <c r="F24" s="94">
        <v>0</v>
      </c>
      <c r="G24" s="94">
        <v>1</v>
      </c>
      <c r="H24" s="94">
        <v>0</v>
      </c>
      <c r="I24" s="94">
        <v>1</v>
      </c>
      <c r="J24" s="94">
        <v>1</v>
      </c>
      <c r="K24" s="94">
        <v>0</v>
      </c>
      <c r="L24" s="94">
        <v>0</v>
      </c>
      <c r="M24" s="94">
        <v>0</v>
      </c>
    </row>
    <row r="25" spans="1:13" ht="15.75" customHeight="1">
      <c r="A25" s="132" t="s">
        <v>245</v>
      </c>
      <c r="B25" s="283">
        <v>8</v>
      </c>
      <c r="C25" s="94">
        <v>3</v>
      </c>
      <c r="D25" s="94">
        <v>2</v>
      </c>
      <c r="E25" s="94">
        <v>1</v>
      </c>
      <c r="F25" s="94">
        <v>0</v>
      </c>
      <c r="G25" s="94">
        <v>1</v>
      </c>
      <c r="H25" s="94">
        <v>0</v>
      </c>
      <c r="I25" s="94">
        <v>1</v>
      </c>
      <c r="J25" s="94">
        <v>0</v>
      </c>
      <c r="K25" s="94">
        <v>0</v>
      </c>
      <c r="L25" s="94">
        <v>0</v>
      </c>
      <c r="M25" s="94">
        <v>0</v>
      </c>
    </row>
    <row r="26" spans="1:13" ht="15.75" customHeight="1">
      <c r="A26" s="132" t="s">
        <v>165</v>
      </c>
      <c r="B26" s="283">
        <v>58</v>
      </c>
      <c r="C26" s="94">
        <v>6</v>
      </c>
      <c r="D26" s="94">
        <v>13</v>
      </c>
      <c r="E26" s="94">
        <v>0</v>
      </c>
      <c r="F26" s="94">
        <v>0</v>
      </c>
      <c r="G26" s="94">
        <v>0</v>
      </c>
      <c r="H26" s="94">
        <v>0</v>
      </c>
      <c r="I26" s="94">
        <v>23</v>
      </c>
      <c r="J26" s="94">
        <v>9</v>
      </c>
      <c r="K26" s="94">
        <v>3</v>
      </c>
      <c r="L26" s="94">
        <v>4</v>
      </c>
      <c r="M26" s="94">
        <v>0</v>
      </c>
    </row>
    <row r="27" spans="1:13" ht="15.75" customHeight="1">
      <c r="A27" s="134" t="s">
        <v>166</v>
      </c>
      <c r="B27" s="283">
        <v>20</v>
      </c>
      <c r="C27" s="94">
        <v>3</v>
      </c>
      <c r="D27" s="94">
        <v>3</v>
      </c>
      <c r="E27" s="94">
        <v>2</v>
      </c>
      <c r="F27" s="94">
        <v>0</v>
      </c>
      <c r="G27" s="94">
        <v>5</v>
      </c>
      <c r="H27" s="94">
        <v>0</v>
      </c>
      <c r="I27" s="94">
        <v>3</v>
      </c>
      <c r="J27" s="94">
        <v>1</v>
      </c>
      <c r="K27" s="94">
        <v>0</v>
      </c>
      <c r="L27" s="94">
        <v>3</v>
      </c>
      <c r="M27" s="94">
        <v>0</v>
      </c>
    </row>
    <row r="28" spans="1:13" ht="15.75" customHeight="1">
      <c r="A28" s="131" t="s">
        <v>277</v>
      </c>
      <c r="B28" s="282">
        <v>15</v>
      </c>
      <c r="C28" s="96">
        <v>0</v>
      </c>
      <c r="D28" s="96">
        <v>3</v>
      </c>
      <c r="E28" s="96">
        <v>1</v>
      </c>
      <c r="F28" s="96">
        <v>0</v>
      </c>
      <c r="G28" s="96">
        <v>3</v>
      </c>
      <c r="H28" s="96">
        <v>2</v>
      </c>
      <c r="I28" s="96">
        <v>0</v>
      </c>
      <c r="J28" s="96">
        <v>2</v>
      </c>
      <c r="K28" s="96">
        <v>1</v>
      </c>
      <c r="L28" s="96">
        <v>2</v>
      </c>
      <c r="M28" s="96">
        <v>1</v>
      </c>
    </row>
    <row r="29" spans="1:13" ht="15.75" customHeight="1">
      <c r="A29" s="130" t="s">
        <v>278</v>
      </c>
      <c r="B29" s="282">
        <v>66</v>
      </c>
      <c r="C29" s="96">
        <v>8</v>
      </c>
      <c r="D29" s="96">
        <v>7</v>
      </c>
      <c r="E29" s="96">
        <v>1</v>
      </c>
      <c r="F29" s="96">
        <v>4</v>
      </c>
      <c r="G29" s="96">
        <v>18</v>
      </c>
      <c r="H29" s="96">
        <v>0</v>
      </c>
      <c r="I29" s="96">
        <v>11</v>
      </c>
      <c r="J29" s="96">
        <v>8</v>
      </c>
      <c r="K29" s="96">
        <v>2</v>
      </c>
      <c r="L29" s="96">
        <v>6</v>
      </c>
      <c r="M29" s="96">
        <v>1</v>
      </c>
    </row>
    <row r="30" spans="1:13" ht="15.75" customHeight="1">
      <c r="A30" s="132" t="s">
        <v>194</v>
      </c>
      <c r="B30" s="282">
        <v>7</v>
      </c>
      <c r="C30" s="94">
        <v>0</v>
      </c>
      <c r="D30" s="94">
        <v>0</v>
      </c>
      <c r="E30" s="94">
        <v>1</v>
      </c>
      <c r="F30" s="94">
        <v>1</v>
      </c>
      <c r="G30" s="94">
        <v>1</v>
      </c>
      <c r="H30" s="94">
        <v>0</v>
      </c>
      <c r="I30" s="94">
        <v>2</v>
      </c>
      <c r="J30" s="94">
        <v>0</v>
      </c>
      <c r="K30" s="94">
        <v>1</v>
      </c>
      <c r="L30" s="94">
        <v>0</v>
      </c>
      <c r="M30" s="94">
        <v>1</v>
      </c>
    </row>
    <row r="31" spans="1:13" ht="15.75" customHeight="1">
      <c r="A31" s="134" t="s">
        <v>172</v>
      </c>
      <c r="B31" s="282">
        <v>22</v>
      </c>
      <c r="C31" s="94">
        <v>2</v>
      </c>
      <c r="D31" s="94">
        <v>1</v>
      </c>
      <c r="E31" s="94">
        <v>0</v>
      </c>
      <c r="F31" s="94">
        <v>1</v>
      </c>
      <c r="G31" s="94">
        <v>5</v>
      </c>
      <c r="H31" s="94">
        <v>0</v>
      </c>
      <c r="I31" s="94">
        <v>5</v>
      </c>
      <c r="J31" s="94">
        <v>2</v>
      </c>
      <c r="K31" s="94">
        <v>1</v>
      </c>
      <c r="L31" s="94">
        <v>5</v>
      </c>
      <c r="M31" s="94">
        <v>0</v>
      </c>
    </row>
    <row r="32" spans="1:13" ht="15.75" customHeight="1">
      <c r="A32" s="132" t="s">
        <v>166</v>
      </c>
      <c r="B32" s="282">
        <v>37</v>
      </c>
      <c r="C32" s="94">
        <v>6</v>
      </c>
      <c r="D32" s="94">
        <v>6</v>
      </c>
      <c r="E32" s="94">
        <v>0</v>
      </c>
      <c r="F32" s="94">
        <v>2</v>
      </c>
      <c r="G32" s="94">
        <v>12</v>
      </c>
      <c r="H32" s="94">
        <v>0</v>
      </c>
      <c r="I32" s="94">
        <v>4</v>
      </c>
      <c r="J32" s="94">
        <v>6</v>
      </c>
      <c r="K32" s="94">
        <v>0</v>
      </c>
      <c r="L32" s="94">
        <v>1</v>
      </c>
      <c r="M32" s="94">
        <v>0</v>
      </c>
    </row>
    <row r="33" spans="1:13" ht="15.75" customHeight="1">
      <c r="A33" s="130" t="s">
        <v>279</v>
      </c>
      <c r="B33" s="282">
        <v>46</v>
      </c>
      <c r="C33" s="96">
        <v>7</v>
      </c>
      <c r="D33" s="96">
        <v>2</v>
      </c>
      <c r="E33" s="96">
        <v>7</v>
      </c>
      <c r="F33" s="96">
        <v>3</v>
      </c>
      <c r="G33" s="96">
        <v>7</v>
      </c>
      <c r="H33" s="96">
        <v>1</v>
      </c>
      <c r="I33" s="96">
        <v>9</v>
      </c>
      <c r="J33" s="96">
        <v>4</v>
      </c>
      <c r="K33" s="96">
        <v>3</v>
      </c>
      <c r="L33" s="96">
        <v>2</v>
      </c>
      <c r="M33" s="96">
        <v>1</v>
      </c>
    </row>
    <row r="34" spans="1:13" ht="15.75" customHeight="1">
      <c r="A34" s="132" t="s">
        <v>281</v>
      </c>
      <c r="B34" s="282">
        <v>9</v>
      </c>
      <c r="C34" s="94">
        <v>1</v>
      </c>
      <c r="D34" s="94">
        <v>0</v>
      </c>
      <c r="E34" s="94">
        <v>3</v>
      </c>
      <c r="F34" s="94">
        <v>1</v>
      </c>
      <c r="G34" s="94">
        <v>0</v>
      </c>
      <c r="H34" s="94">
        <v>0</v>
      </c>
      <c r="I34" s="94">
        <v>2</v>
      </c>
      <c r="J34" s="94">
        <v>0</v>
      </c>
      <c r="K34" s="94">
        <v>1</v>
      </c>
      <c r="L34" s="94">
        <v>1</v>
      </c>
      <c r="M34" s="94">
        <v>0</v>
      </c>
    </row>
    <row r="35" spans="1:13" ht="15.75" customHeight="1">
      <c r="A35" s="134" t="s">
        <v>190</v>
      </c>
      <c r="B35" s="282">
        <v>18</v>
      </c>
      <c r="C35" s="94">
        <v>2</v>
      </c>
      <c r="D35" s="94">
        <v>0</v>
      </c>
      <c r="E35" s="94">
        <v>3</v>
      </c>
      <c r="F35" s="94">
        <v>2</v>
      </c>
      <c r="G35" s="94">
        <v>3</v>
      </c>
      <c r="H35" s="94">
        <v>1</v>
      </c>
      <c r="I35" s="94">
        <v>2</v>
      </c>
      <c r="J35" s="94">
        <v>2</v>
      </c>
      <c r="K35" s="94">
        <v>1</v>
      </c>
      <c r="L35" s="94">
        <v>1</v>
      </c>
      <c r="M35" s="94">
        <v>1</v>
      </c>
    </row>
    <row r="36" spans="1:13" ht="15.75" customHeight="1">
      <c r="A36" s="134" t="s">
        <v>166</v>
      </c>
      <c r="B36" s="282">
        <v>19</v>
      </c>
      <c r="C36" s="94">
        <v>4</v>
      </c>
      <c r="D36" s="94">
        <v>2</v>
      </c>
      <c r="E36" s="94">
        <v>1</v>
      </c>
      <c r="F36" s="94">
        <v>0</v>
      </c>
      <c r="G36" s="94">
        <v>4</v>
      </c>
      <c r="H36" s="94">
        <v>0</v>
      </c>
      <c r="I36" s="94">
        <v>5</v>
      </c>
      <c r="J36" s="94">
        <v>2</v>
      </c>
      <c r="K36" s="94">
        <v>1</v>
      </c>
      <c r="L36" s="94">
        <v>0</v>
      </c>
      <c r="M36" s="94">
        <v>0</v>
      </c>
    </row>
    <row r="37" spans="1:13" ht="15.75" customHeight="1" thickBot="1">
      <c r="A37" s="135" t="s">
        <v>280</v>
      </c>
      <c r="B37" s="288">
        <v>1</v>
      </c>
      <c r="C37" s="97">
        <v>0</v>
      </c>
      <c r="D37" s="97">
        <v>0</v>
      </c>
      <c r="E37" s="97">
        <v>0</v>
      </c>
      <c r="F37" s="97">
        <v>0</v>
      </c>
      <c r="G37" s="97">
        <v>1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</row>
    <row r="38" spans="1:13" ht="15">
      <c r="A38" s="391" t="s">
        <v>635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</row>
  </sheetData>
  <sheetProtection/>
  <mergeCells count="5">
    <mergeCell ref="A1:M1"/>
    <mergeCell ref="A2:M2"/>
    <mergeCell ref="A3:M3"/>
    <mergeCell ref="C4:M4"/>
    <mergeCell ref="A38:M38"/>
  </mergeCells>
  <printOptions/>
  <pageMargins left="0.7" right="0.7" top="0.787401575" bottom="0.7874015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zoomScale="85" zoomScaleNormal="85" zoomScalePageLayoutView="0" workbookViewId="0" topLeftCell="A1">
      <selection activeCell="G30" sqref="G30"/>
    </sheetView>
  </sheetViews>
  <sheetFormatPr defaultColWidth="11.421875" defaultRowHeight="12.75"/>
  <cols>
    <col min="1" max="1" width="54.7109375" style="110" bestFit="1" customWidth="1"/>
    <col min="2" max="2" width="7.8515625" style="110" bestFit="1" customWidth="1"/>
    <col min="3" max="3" width="8.8515625" style="110" bestFit="1" customWidth="1"/>
    <col min="4" max="4" width="9.28125" style="110" bestFit="1" customWidth="1"/>
    <col min="5" max="16384" width="11.421875" style="110" customWidth="1"/>
  </cols>
  <sheetData>
    <row r="1" spans="1:8" ht="18" customHeight="1">
      <c r="A1" s="412" t="s">
        <v>511</v>
      </c>
      <c r="B1" s="412"/>
      <c r="C1" s="412"/>
      <c r="D1" s="412"/>
      <c r="E1" s="412"/>
      <c r="F1" s="412"/>
      <c r="G1" s="412"/>
      <c r="H1" s="412"/>
    </row>
    <row r="2" spans="1:4" ht="15.75" customHeight="1">
      <c r="A2" s="413" t="s">
        <v>528</v>
      </c>
      <c r="B2" s="413"/>
      <c r="C2" s="413"/>
      <c r="D2" s="413"/>
    </row>
    <row r="3" spans="1:4" ht="15.75" customHeight="1" thickBot="1">
      <c r="A3" s="414" t="s">
        <v>494</v>
      </c>
      <c r="B3" s="414"/>
      <c r="C3" s="414"/>
      <c r="D3" s="414"/>
    </row>
    <row r="4" spans="1:4" ht="15.75" customHeight="1">
      <c r="A4" s="129"/>
      <c r="B4" s="354" t="s">
        <v>134</v>
      </c>
      <c r="C4" s="415" t="s">
        <v>421</v>
      </c>
      <c r="D4" s="415"/>
    </row>
    <row r="5" spans="1:4" ht="15.75" customHeight="1">
      <c r="A5" s="129"/>
      <c r="B5" s="65"/>
      <c r="C5" s="355" t="s">
        <v>22</v>
      </c>
      <c r="D5" s="355" t="s">
        <v>21</v>
      </c>
    </row>
    <row r="6" spans="1:4" ht="15.75" customHeight="1">
      <c r="A6" s="131" t="s">
        <v>134</v>
      </c>
      <c r="B6" s="282">
        <v>6372</v>
      </c>
      <c r="C6" s="96">
        <v>3154</v>
      </c>
      <c r="D6" s="96">
        <v>3218</v>
      </c>
    </row>
    <row r="7" spans="1:4" ht="15.75" customHeight="1">
      <c r="A7" s="131" t="s">
        <v>363</v>
      </c>
      <c r="B7" s="282">
        <v>4002</v>
      </c>
      <c r="C7" s="96">
        <v>1865</v>
      </c>
      <c r="D7" s="96">
        <v>2137</v>
      </c>
    </row>
    <row r="8" spans="1:4" ht="15.75" customHeight="1">
      <c r="A8" s="132" t="s">
        <v>364</v>
      </c>
      <c r="B8" s="283">
        <v>10</v>
      </c>
      <c r="C8" s="94">
        <v>5</v>
      </c>
      <c r="D8" s="94">
        <v>5</v>
      </c>
    </row>
    <row r="9" spans="1:4" ht="15.75" customHeight="1">
      <c r="A9" s="132" t="s">
        <v>365</v>
      </c>
      <c r="B9" s="283">
        <v>10</v>
      </c>
      <c r="C9" s="94">
        <v>5</v>
      </c>
      <c r="D9" s="94">
        <v>5</v>
      </c>
    </row>
    <row r="10" spans="1:4" ht="15.75" customHeight="1">
      <c r="A10" s="132" t="s">
        <v>366</v>
      </c>
      <c r="B10" s="283">
        <v>1385</v>
      </c>
      <c r="C10" s="94">
        <v>385</v>
      </c>
      <c r="D10" s="94">
        <v>1000</v>
      </c>
    </row>
    <row r="11" spans="1:4" ht="15.75" customHeight="1">
      <c r="A11" s="132" t="s">
        <v>367</v>
      </c>
      <c r="B11" s="283">
        <v>2</v>
      </c>
      <c r="C11" s="94">
        <v>0</v>
      </c>
      <c r="D11" s="94">
        <v>2</v>
      </c>
    </row>
    <row r="12" spans="1:4" ht="15.75" customHeight="1">
      <c r="A12" s="132" t="s">
        <v>368</v>
      </c>
      <c r="B12" s="283">
        <v>205</v>
      </c>
      <c r="C12" s="94">
        <v>65</v>
      </c>
      <c r="D12" s="94">
        <v>140</v>
      </c>
    </row>
    <row r="13" spans="1:4" ht="15.75" customHeight="1">
      <c r="A13" s="132" t="s">
        <v>369</v>
      </c>
      <c r="B13" s="283">
        <v>20</v>
      </c>
      <c r="C13" s="94">
        <v>16</v>
      </c>
      <c r="D13" s="94">
        <v>4</v>
      </c>
    </row>
    <row r="14" spans="1:4" ht="15.75" customHeight="1">
      <c r="A14" s="132" t="s">
        <v>370</v>
      </c>
      <c r="B14" s="283">
        <v>43</v>
      </c>
      <c r="C14" s="94">
        <v>10</v>
      </c>
      <c r="D14" s="94">
        <v>33</v>
      </c>
    </row>
    <row r="15" spans="1:4" ht="15.75" customHeight="1">
      <c r="A15" s="132" t="s">
        <v>371</v>
      </c>
      <c r="B15" s="283">
        <v>13</v>
      </c>
      <c r="C15" s="94">
        <v>6</v>
      </c>
      <c r="D15" s="94">
        <v>7</v>
      </c>
    </row>
    <row r="16" spans="1:4" ht="15.75" customHeight="1">
      <c r="A16" s="132" t="s">
        <v>372</v>
      </c>
      <c r="B16" s="283">
        <v>77</v>
      </c>
      <c r="C16" s="94">
        <v>45</v>
      </c>
      <c r="D16" s="94">
        <v>32</v>
      </c>
    </row>
    <row r="17" spans="1:4" ht="15.75" customHeight="1">
      <c r="A17" s="132" t="s">
        <v>373</v>
      </c>
      <c r="B17" s="283">
        <v>131</v>
      </c>
      <c r="C17" s="94">
        <v>39</v>
      </c>
      <c r="D17" s="94">
        <v>92</v>
      </c>
    </row>
    <row r="18" spans="1:4" ht="15.75" customHeight="1">
      <c r="A18" s="132" t="s">
        <v>374</v>
      </c>
      <c r="B18" s="283">
        <v>57</v>
      </c>
      <c r="C18" s="94">
        <v>18</v>
      </c>
      <c r="D18" s="94">
        <v>39</v>
      </c>
    </row>
    <row r="19" spans="1:4" ht="15.75" customHeight="1">
      <c r="A19" s="132" t="s">
        <v>375</v>
      </c>
      <c r="B19" s="283">
        <v>33</v>
      </c>
      <c r="C19" s="94">
        <v>16</v>
      </c>
      <c r="D19" s="94">
        <v>17</v>
      </c>
    </row>
    <row r="20" spans="1:4" ht="15.75" customHeight="1">
      <c r="A20" s="132" t="s">
        <v>376</v>
      </c>
      <c r="B20" s="283">
        <v>169</v>
      </c>
      <c r="C20" s="94">
        <v>47</v>
      </c>
      <c r="D20" s="94">
        <v>122</v>
      </c>
    </row>
    <row r="21" spans="1:4" ht="15.75" customHeight="1">
      <c r="A21" s="132" t="s">
        <v>377</v>
      </c>
      <c r="B21" s="283">
        <v>107</v>
      </c>
      <c r="C21" s="94">
        <v>27</v>
      </c>
      <c r="D21" s="94">
        <v>80</v>
      </c>
    </row>
    <row r="22" spans="1:4" ht="15.75" customHeight="1">
      <c r="A22" s="132" t="s">
        <v>378</v>
      </c>
      <c r="B22" s="283">
        <v>109</v>
      </c>
      <c r="C22" s="94">
        <v>53</v>
      </c>
      <c r="D22" s="94">
        <v>56</v>
      </c>
    </row>
    <row r="23" spans="1:4" ht="15.75" customHeight="1">
      <c r="A23" s="132" t="s">
        <v>379</v>
      </c>
      <c r="B23" s="283">
        <v>23</v>
      </c>
      <c r="C23" s="94">
        <v>5</v>
      </c>
      <c r="D23" s="94">
        <v>18</v>
      </c>
    </row>
    <row r="24" spans="1:4" ht="15.75" customHeight="1">
      <c r="A24" s="132" t="s">
        <v>380</v>
      </c>
      <c r="B24" s="283">
        <v>396</v>
      </c>
      <c r="C24" s="94">
        <v>38</v>
      </c>
      <c r="D24" s="94">
        <v>358</v>
      </c>
    </row>
    <row r="25" spans="1:4" ht="15.75" customHeight="1">
      <c r="A25" s="132" t="s">
        <v>381</v>
      </c>
      <c r="B25" s="283">
        <v>2607</v>
      </c>
      <c r="C25" s="94">
        <v>1475</v>
      </c>
      <c r="D25" s="94">
        <v>1132</v>
      </c>
    </row>
    <row r="26" spans="1:4" ht="15.75" customHeight="1">
      <c r="A26" s="132" t="s">
        <v>382</v>
      </c>
      <c r="B26" s="283">
        <v>350</v>
      </c>
      <c r="C26" s="94">
        <v>183</v>
      </c>
      <c r="D26" s="94">
        <v>167</v>
      </c>
    </row>
    <row r="27" spans="1:4" ht="15.75" customHeight="1">
      <c r="A27" s="132" t="s">
        <v>383</v>
      </c>
      <c r="B27" s="283">
        <v>91</v>
      </c>
      <c r="C27" s="94">
        <v>28</v>
      </c>
      <c r="D27" s="94">
        <v>63</v>
      </c>
    </row>
    <row r="28" spans="1:4" ht="15.75" customHeight="1">
      <c r="A28" s="132" t="s">
        <v>384</v>
      </c>
      <c r="B28" s="283">
        <v>176</v>
      </c>
      <c r="C28" s="94">
        <v>110</v>
      </c>
      <c r="D28" s="94">
        <v>66</v>
      </c>
    </row>
    <row r="29" spans="1:4" ht="15.75" customHeight="1">
      <c r="A29" s="132" t="s">
        <v>385</v>
      </c>
      <c r="B29" s="283">
        <v>19</v>
      </c>
      <c r="C29" s="94">
        <v>7</v>
      </c>
      <c r="D29" s="94">
        <v>12</v>
      </c>
    </row>
    <row r="30" spans="1:4" ht="15.75" customHeight="1">
      <c r="A30" s="132" t="s">
        <v>386</v>
      </c>
      <c r="B30" s="283">
        <v>13</v>
      </c>
      <c r="C30" s="94">
        <v>2</v>
      </c>
      <c r="D30" s="94">
        <v>11</v>
      </c>
    </row>
    <row r="31" spans="1:4" ht="15.75" customHeight="1">
      <c r="A31" s="132" t="s">
        <v>387</v>
      </c>
      <c r="B31" s="283">
        <v>52</v>
      </c>
      <c r="C31" s="94">
        <v>6</v>
      </c>
      <c r="D31" s="94">
        <v>46</v>
      </c>
    </row>
    <row r="32" spans="1:4" ht="15.75" customHeight="1">
      <c r="A32" s="132" t="s">
        <v>388</v>
      </c>
      <c r="B32" s="283">
        <v>246</v>
      </c>
      <c r="C32" s="94">
        <v>106</v>
      </c>
      <c r="D32" s="94">
        <v>140</v>
      </c>
    </row>
    <row r="33" spans="1:4" ht="15.75" customHeight="1">
      <c r="A33" s="132" t="s">
        <v>389</v>
      </c>
      <c r="B33" s="283">
        <v>24</v>
      </c>
      <c r="C33" s="94">
        <v>7</v>
      </c>
      <c r="D33" s="94">
        <v>17</v>
      </c>
    </row>
    <row r="34" spans="1:4" ht="15.75" customHeight="1">
      <c r="A34" s="132" t="s">
        <v>390</v>
      </c>
      <c r="B34" s="283">
        <v>240</v>
      </c>
      <c r="C34" s="94">
        <v>146</v>
      </c>
      <c r="D34" s="94">
        <v>94</v>
      </c>
    </row>
    <row r="35" spans="1:4" ht="15.75" customHeight="1">
      <c r="A35" s="132" t="s">
        <v>391</v>
      </c>
      <c r="B35" s="283">
        <v>126</v>
      </c>
      <c r="C35" s="94">
        <v>44</v>
      </c>
      <c r="D35" s="94">
        <v>82</v>
      </c>
    </row>
    <row r="36" spans="1:4" ht="15.75" customHeight="1">
      <c r="A36" s="132" t="s">
        <v>392</v>
      </c>
      <c r="B36" s="283">
        <v>86</v>
      </c>
      <c r="C36" s="94">
        <v>30</v>
      </c>
      <c r="D36" s="94">
        <v>56</v>
      </c>
    </row>
    <row r="37" spans="1:4" ht="15.75" customHeight="1">
      <c r="A37" s="132" t="s">
        <v>393</v>
      </c>
      <c r="B37" s="283">
        <v>46</v>
      </c>
      <c r="C37" s="94">
        <v>25</v>
      </c>
      <c r="D37" s="94">
        <v>21</v>
      </c>
    </row>
    <row r="38" spans="1:4" ht="15.75" customHeight="1">
      <c r="A38" s="132" t="s">
        <v>394</v>
      </c>
      <c r="B38" s="283">
        <v>213</v>
      </c>
      <c r="C38" s="94">
        <v>130</v>
      </c>
      <c r="D38" s="94">
        <v>83</v>
      </c>
    </row>
    <row r="39" spans="1:4" ht="15.75" customHeight="1">
      <c r="A39" s="132" t="s">
        <v>395</v>
      </c>
      <c r="B39" s="283">
        <v>158</v>
      </c>
      <c r="C39" s="94">
        <v>98</v>
      </c>
      <c r="D39" s="94">
        <v>60</v>
      </c>
    </row>
    <row r="40" spans="1:4" ht="15.75" customHeight="1">
      <c r="A40" s="132" t="s">
        <v>396</v>
      </c>
      <c r="B40" s="283">
        <v>154</v>
      </c>
      <c r="C40" s="94">
        <v>97</v>
      </c>
      <c r="D40" s="94">
        <v>57</v>
      </c>
    </row>
    <row r="41" spans="1:4" ht="15.75" customHeight="1">
      <c r="A41" s="132" t="s">
        <v>397</v>
      </c>
      <c r="B41" s="283">
        <v>204</v>
      </c>
      <c r="C41" s="94">
        <v>153</v>
      </c>
      <c r="D41" s="94">
        <v>51</v>
      </c>
    </row>
    <row r="42" spans="1:4" ht="15.75" customHeight="1">
      <c r="A42" s="132" t="s">
        <v>398</v>
      </c>
      <c r="B42" s="283">
        <v>179</v>
      </c>
      <c r="C42" s="94">
        <v>145</v>
      </c>
      <c r="D42" s="94">
        <v>34</v>
      </c>
    </row>
    <row r="43" spans="1:4" ht="15.75" customHeight="1">
      <c r="A43" s="132" t="s">
        <v>399</v>
      </c>
      <c r="B43" s="283">
        <v>78</v>
      </c>
      <c r="C43" s="94">
        <v>44</v>
      </c>
      <c r="D43" s="94">
        <v>34</v>
      </c>
    </row>
    <row r="44" spans="1:4" ht="15.75" customHeight="1">
      <c r="A44" s="132" t="s">
        <v>400</v>
      </c>
      <c r="B44" s="283">
        <v>107</v>
      </c>
      <c r="C44" s="94">
        <v>77</v>
      </c>
      <c r="D44" s="94">
        <v>30</v>
      </c>
    </row>
    <row r="45" spans="1:4" ht="15.75" customHeight="1">
      <c r="A45" s="132" t="s">
        <v>401</v>
      </c>
      <c r="B45" s="283">
        <v>44</v>
      </c>
      <c r="C45" s="94">
        <v>36</v>
      </c>
      <c r="D45" s="94">
        <v>8</v>
      </c>
    </row>
    <row r="46" spans="1:4" ht="15.75" customHeight="1">
      <c r="A46" s="134" t="s">
        <v>402</v>
      </c>
      <c r="B46" s="283">
        <v>1</v>
      </c>
      <c r="C46" s="94">
        <v>1</v>
      </c>
      <c r="D46" s="94">
        <v>0</v>
      </c>
    </row>
    <row r="47" spans="1:4" ht="15.75" customHeight="1">
      <c r="A47" s="131" t="s">
        <v>403</v>
      </c>
      <c r="B47" s="282">
        <v>91</v>
      </c>
      <c r="C47" s="96">
        <v>42</v>
      </c>
      <c r="D47" s="96">
        <v>49</v>
      </c>
    </row>
    <row r="48" spans="1:4" ht="15.75" customHeight="1">
      <c r="A48" s="131" t="s">
        <v>509</v>
      </c>
      <c r="B48" s="282">
        <v>534</v>
      </c>
      <c r="C48" s="96">
        <v>467</v>
      </c>
      <c r="D48" s="96">
        <v>67</v>
      </c>
    </row>
    <row r="49" spans="1:4" ht="15.75" customHeight="1">
      <c r="A49" s="131" t="s">
        <v>405</v>
      </c>
      <c r="B49" s="282">
        <v>630</v>
      </c>
      <c r="C49" s="96">
        <v>294</v>
      </c>
      <c r="D49" s="96">
        <v>336</v>
      </c>
    </row>
    <row r="50" spans="1:4" ht="15.75" customHeight="1" thickBot="1">
      <c r="A50" s="135" t="s">
        <v>406</v>
      </c>
      <c r="B50" s="288">
        <v>1115</v>
      </c>
      <c r="C50" s="97">
        <v>486</v>
      </c>
      <c r="D50" s="97">
        <v>629</v>
      </c>
    </row>
    <row r="51" spans="1:4" ht="15">
      <c r="A51" s="391" t="s">
        <v>635</v>
      </c>
      <c r="B51" s="391"/>
      <c r="C51" s="391"/>
      <c r="D51" s="391"/>
    </row>
  </sheetData>
  <sheetProtection/>
  <mergeCells count="5">
    <mergeCell ref="A2:D2"/>
    <mergeCell ref="A3:D3"/>
    <mergeCell ref="C4:D4"/>
    <mergeCell ref="A1:H1"/>
    <mergeCell ref="A51:D51"/>
  </mergeCells>
  <printOptions/>
  <pageMargins left="0.7" right="0.7" top="0.787401575" bottom="0.7874015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="85" zoomScaleNormal="85" zoomScalePageLayoutView="0" workbookViewId="0" topLeftCell="A1">
      <selection activeCell="S40" sqref="S40"/>
    </sheetView>
  </sheetViews>
  <sheetFormatPr defaultColWidth="11.421875" defaultRowHeight="12.75"/>
  <cols>
    <col min="1" max="1" width="24.28125" style="139" bestFit="1" customWidth="1"/>
    <col min="2" max="2" width="7.57421875" style="110" bestFit="1" customWidth="1"/>
    <col min="3" max="3" width="7.7109375" style="110" bestFit="1" customWidth="1"/>
    <col min="4" max="4" width="9.28125" style="110" bestFit="1" customWidth="1"/>
    <col min="5" max="5" width="8.8515625" style="110" bestFit="1" customWidth="1"/>
    <col min="6" max="6" width="14.140625" style="110" bestFit="1" customWidth="1"/>
    <col min="7" max="7" width="9.57421875" style="110" bestFit="1" customWidth="1"/>
    <col min="8" max="8" width="10.140625" style="110" bestFit="1" customWidth="1"/>
    <col min="9" max="9" width="9.57421875" style="110" bestFit="1" customWidth="1"/>
    <col min="10" max="10" width="9.421875" style="110" bestFit="1" customWidth="1"/>
    <col min="11" max="11" width="10.57421875" style="110" bestFit="1" customWidth="1"/>
    <col min="12" max="12" width="9.28125" style="110" bestFit="1" customWidth="1"/>
    <col min="13" max="13" width="15.140625" style="110" bestFit="1" customWidth="1"/>
    <col min="14" max="16384" width="11.421875" style="110" customWidth="1"/>
  </cols>
  <sheetData>
    <row r="1" spans="1:13" ht="18" customHeight="1">
      <c r="A1" s="412" t="s">
        <v>423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5.75" customHeight="1">
      <c r="A2" s="413" t="s">
        <v>528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5.75" customHeight="1" thickBot="1">
      <c r="A3" s="414" t="s">
        <v>495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5.75" customHeight="1">
      <c r="A4" s="80"/>
      <c r="B4" s="344" t="s">
        <v>134</v>
      </c>
      <c r="C4" s="415" t="s">
        <v>122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5.75" customHeight="1">
      <c r="A5" s="80"/>
      <c r="B5" s="65"/>
      <c r="C5" s="345" t="s">
        <v>123</v>
      </c>
      <c r="D5" s="345" t="s">
        <v>124</v>
      </c>
      <c r="E5" s="345" t="s">
        <v>125</v>
      </c>
      <c r="F5" s="345" t="s">
        <v>126</v>
      </c>
      <c r="G5" s="345" t="s">
        <v>127</v>
      </c>
      <c r="H5" s="345" t="s">
        <v>128</v>
      </c>
      <c r="I5" s="345" t="s">
        <v>129</v>
      </c>
      <c r="J5" s="345" t="s">
        <v>130</v>
      </c>
      <c r="K5" s="345" t="s">
        <v>131</v>
      </c>
      <c r="L5" s="345" t="s">
        <v>132</v>
      </c>
      <c r="M5" s="345" t="s">
        <v>133</v>
      </c>
    </row>
    <row r="6" spans="1:13" ht="15.75" customHeight="1">
      <c r="A6" s="79" t="s">
        <v>134</v>
      </c>
      <c r="B6" s="289">
        <v>1811</v>
      </c>
      <c r="C6" s="104">
        <v>308</v>
      </c>
      <c r="D6" s="104">
        <v>283</v>
      </c>
      <c r="E6" s="104">
        <v>162</v>
      </c>
      <c r="F6" s="104">
        <v>109</v>
      </c>
      <c r="G6" s="104">
        <v>301</v>
      </c>
      <c r="H6" s="104">
        <v>14</v>
      </c>
      <c r="I6" s="104">
        <v>207</v>
      </c>
      <c r="J6" s="104">
        <v>236</v>
      </c>
      <c r="K6" s="104">
        <v>68</v>
      </c>
      <c r="L6" s="104">
        <v>81</v>
      </c>
      <c r="M6" s="104">
        <v>42</v>
      </c>
    </row>
    <row r="7" spans="1:13" ht="15.75" customHeight="1">
      <c r="A7" s="79" t="s">
        <v>136</v>
      </c>
      <c r="B7" s="289">
        <v>481</v>
      </c>
      <c r="C7" s="104">
        <v>66</v>
      </c>
      <c r="D7" s="104">
        <v>80</v>
      </c>
      <c r="E7" s="104">
        <v>76</v>
      </c>
      <c r="F7" s="104">
        <v>32</v>
      </c>
      <c r="G7" s="104">
        <v>65</v>
      </c>
      <c r="H7" s="104">
        <v>5</v>
      </c>
      <c r="I7" s="104">
        <v>49</v>
      </c>
      <c r="J7" s="104">
        <v>40</v>
      </c>
      <c r="K7" s="104">
        <v>23</v>
      </c>
      <c r="L7" s="104">
        <v>33</v>
      </c>
      <c r="M7" s="104">
        <v>12</v>
      </c>
    </row>
    <row r="8" spans="1:13" ht="15.75" customHeight="1">
      <c r="A8" s="78" t="s">
        <v>261</v>
      </c>
      <c r="B8" s="289">
        <v>1030</v>
      </c>
      <c r="C8" s="104">
        <v>172</v>
      </c>
      <c r="D8" s="104">
        <v>149</v>
      </c>
      <c r="E8" s="104">
        <v>59</v>
      </c>
      <c r="F8" s="104">
        <v>64</v>
      </c>
      <c r="G8" s="104">
        <v>193</v>
      </c>
      <c r="H8" s="104">
        <v>9</v>
      </c>
      <c r="I8" s="104">
        <v>119</v>
      </c>
      <c r="J8" s="104">
        <v>161</v>
      </c>
      <c r="K8" s="104">
        <v>39</v>
      </c>
      <c r="L8" s="104">
        <v>37</v>
      </c>
      <c r="M8" s="104">
        <v>28</v>
      </c>
    </row>
    <row r="9" spans="1:13" ht="15.75" customHeight="1">
      <c r="A9" s="75" t="s">
        <v>148</v>
      </c>
      <c r="B9" s="290">
        <v>307</v>
      </c>
      <c r="C9" s="103">
        <v>62</v>
      </c>
      <c r="D9" s="103">
        <v>49</v>
      </c>
      <c r="E9" s="103">
        <v>8</v>
      </c>
      <c r="F9" s="103">
        <v>30</v>
      </c>
      <c r="G9" s="103">
        <v>38</v>
      </c>
      <c r="H9" s="103">
        <v>5</v>
      </c>
      <c r="I9" s="103">
        <v>37</v>
      </c>
      <c r="J9" s="103">
        <v>39</v>
      </c>
      <c r="K9" s="103">
        <v>13</v>
      </c>
      <c r="L9" s="103">
        <v>15</v>
      </c>
      <c r="M9" s="103">
        <v>11</v>
      </c>
    </row>
    <row r="10" spans="1:13" ht="15.75" customHeight="1">
      <c r="A10" s="75" t="s">
        <v>150</v>
      </c>
      <c r="B10" s="290">
        <v>12</v>
      </c>
      <c r="C10" s="103">
        <v>1</v>
      </c>
      <c r="D10" s="103">
        <v>2</v>
      </c>
      <c r="E10" s="103">
        <v>0</v>
      </c>
      <c r="F10" s="103">
        <v>2</v>
      </c>
      <c r="G10" s="103">
        <v>1</v>
      </c>
      <c r="H10" s="103">
        <v>0</v>
      </c>
      <c r="I10" s="103">
        <v>0</v>
      </c>
      <c r="J10" s="103">
        <v>5</v>
      </c>
      <c r="K10" s="103">
        <v>0</v>
      </c>
      <c r="L10" s="103">
        <v>0</v>
      </c>
      <c r="M10" s="103">
        <v>1</v>
      </c>
    </row>
    <row r="11" spans="1:13" ht="15.75" customHeight="1">
      <c r="A11" s="75" t="s">
        <v>151</v>
      </c>
      <c r="B11" s="290">
        <v>5</v>
      </c>
      <c r="C11" s="103">
        <v>3</v>
      </c>
      <c r="D11" s="103">
        <v>1</v>
      </c>
      <c r="E11" s="103">
        <v>0</v>
      </c>
      <c r="F11" s="103">
        <v>0</v>
      </c>
      <c r="G11" s="103">
        <v>1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</row>
    <row r="12" spans="1:13" ht="15.75" customHeight="1">
      <c r="A12" s="75" t="s">
        <v>167</v>
      </c>
      <c r="B12" s="290">
        <v>7</v>
      </c>
      <c r="C12" s="103">
        <v>1</v>
      </c>
      <c r="D12" s="103">
        <v>1</v>
      </c>
      <c r="E12" s="103">
        <v>1</v>
      </c>
      <c r="F12" s="103">
        <v>0</v>
      </c>
      <c r="G12" s="103">
        <v>0</v>
      </c>
      <c r="H12" s="103">
        <v>1</v>
      </c>
      <c r="I12" s="103">
        <v>1</v>
      </c>
      <c r="J12" s="103">
        <v>1</v>
      </c>
      <c r="K12" s="103">
        <v>0</v>
      </c>
      <c r="L12" s="103">
        <v>0</v>
      </c>
      <c r="M12" s="103">
        <v>1</v>
      </c>
    </row>
    <row r="13" spans="1:13" ht="15.75" customHeight="1">
      <c r="A13" s="75" t="s">
        <v>153</v>
      </c>
      <c r="B13" s="290">
        <v>92</v>
      </c>
      <c r="C13" s="103">
        <v>11</v>
      </c>
      <c r="D13" s="103">
        <v>21</v>
      </c>
      <c r="E13" s="103">
        <v>19</v>
      </c>
      <c r="F13" s="103">
        <v>3</v>
      </c>
      <c r="G13" s="103">
        <v>8</v>
      </c>
      <c r="H13" s="103">
        <v>1</v>
      </c>
      <c r="I13" s="103">
        <v>8</v>
      </c>
      <c r="J13" s="103">
        <v>16</v>
      </c>
      <c r="K13" s="103">
        <v>3</v>
      </c>
      <c r="L13" s="103">
        <v>0</v>
      </c>
      <c r="M13" s="103">
        <v>2</v>
      </c>
    </row>
    <row r="14" spans="1:13" ht="15.75" customHeight="1">
      <c r="A14" s="75" t="s">
        <v>162</v>
      </c>
      <c r="B14" s="290">
        <v>4</v>
      </c>
      <c r="C14" s="103">
        <v>1</v>
      </c>
      <c r="D14" s="103">
        <v>3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</row>
    <row r="15" spans="1:13" ht="15.75" customHeight="1">
      <c r="A15" s="75" t="s">
        <v>155</v>
      </c>
      <c r="B15" s="290">
        <v>6</v>
      </c>
      <c r="C15" s="103">
        <v>0</v>
      </c>
      <c r="D15" s="103">
        <v>2</v>
      </c>
      <c r="E15" s="103">
        <v>0</v>
      </c>
      <c r="F15" s="103">
        <v>1</v>
      </c>
      <c r="G15" s="103">
        <v>1</v>
      </c>
      <c r="H15" s="103">
        <v>0</v>
      </c>
      <c r="I15" s="103">
        <v>1</v>
      </c>
      <c r="J15" s="103">
        <v>1</v>
      </c>
      <c r="K15" s="103">
        <v>0</v>
      </c>
      <c r="L15" s="103">
        <v>0</v>
      </c>
      <c r="M15" s="103">
        <v>0</v>
      </c>
    </row>
    <row r="16" spans="1:13" ht="15.75" customHeight="1">
      <c r="A16" s="75" t="s">
        <v>157</v>
      </c>
      <c r="B16" s="290">
        <v>360</v>
      </c>
      <c r="C16" s="103">
        <v>60</v>
      </c>
      <c r="D16" s="103">
        <v>41</v>
      </c>
      <c r="E16" s="103">
        <v>16</v>
      </c>
      <c r="F16" s="103">
        <v>20</v>
      </c>
      <c r="G16" s="103">
        <v>43</v>
      </c>
      <c r="H16" s="103">
        <v>2</v>
      </c>
      <c r="I16" s="103">
        <v>57</v>
      </c>
      <c r="J16" s="103">
        <v>78</v>
      </c>
      <c r="K16" s="103">
        <v>15</v>
      </c>
      <c r="L16" s="103">
        <v>19</v>
      </c>
      <c r="M16" s="103">
        <v>9</v>
      </c>
    </row>
    <row r="17" spans="1:13" ht="15.75" customHeight="1">
      <c r="A17" s="75" t="s">
        <v>158</v>
      </c>
      <c r="B17" s="290">
        <v>97</v>
      </c>
      <c r="C17" s="103">
        <v>13</v>
      </c>
      <c r="D17" s="103">
        <v>19</v>
      </c>
      <c r="E17" s="103">
        <v>9</v>
      </c>
      <c r="F17" s="103">
        <v>1</v>
      </c>
      <c r="G17" s="103">
        <v>46</v>
      </c>
      <c r="H17" s="103">
        <v>0</v>
      </c>
      <c r="I17" s="103">
        <v>2</v>
      </c>
      <c r="J17" s="103">
        <v>2</v>
      </c>
      <c r="K17" s="103">
        <v>4</v>
      </c>
      <c r="L17" s="103">
        <v>0</v>
      </c>
      <c r="M17" s="103">
        <v>1</v>
      </c>
    </row>
    <row r="18" spans="1:13" ht="15.75" customHeight="1">
      <c r="A18" s="75" t="s">
        <v>164</v>
      </c>
      <c r="B18" s="290">
        <v>8</v>
      </c>
      <c r="C18" s="103">
        <v>1</v>
      </c>
      <c r="D18" s="103">
        <v>1</v>
      </c>
      <c r="E18" s="103">
        <v>1</v>
      </c>
      <c r="F18" s="103">
        <v>0</v>
      </c>
      <c r="G18" s="103">
        <v>2</v>
      </c>
      <c r="H18" s="103">
        <v>0</v>
      </c>
      <c r="I18" s="103">
        <v>2</v>
      </c>
      <c r="J18" s="103">
        <v>1</v>
      </c>
      <c r="K18" s="103">
        <v>0</v>
      </c>
      <c r="L18" s="103">
        <v>0</v>
      </c>
      <c r="M18" s="103">
        <v>0</v>
      </c>
    </row>
    <row r="19" spans="1:13" ht="15.75" customHeight="1">
      <c r="A19" s="75" t="s">
        <v>160</v>
      </c>
      <c r="B19" s="290">
        <v>64</v>
      </c>
      <c r="C19" s="103">
        <v>4</v>
      </c>
      <c r="D19" s="103">
        <v>1</v>
      </c>
      <c r="E19" s="103">
        <v>1</v>
      </c>
      <c r="F19" s="103">
        <v>1</v>
      </c>
      <c r="G19" s="103">
        <v>40</v>
      </c>
      <c r="H19" s="103">
        <v>0</v>
      </c>
      <c r="I19" s="103">
        <v>5</v>
      </c>
      <c r="J19" s="103">
        <v>6</v>
      </c>
      <c r="K19" s="103">
        <v>3</v>
      </c>
      <c r="L19" s="103">
        <v>3</v>
      </c>
      <c r="M19" s="103">
        <v>0</v>
      </c>
    </row>
    <row r="20" spans="1:13" ht="15.75" customHeight="1">
      <c r="A20" s="137" t="s">
        <v>166</v>
      </c>
      <c r="B20" s="290">
        <v>68</v>
      </c>
      <c r="C20" s="103">
        <v>15</v>
      </c>
      <c r="D20" s="103">
        <v>8</v>
      </c>
      <c r="E20" s="103">
        <v>4</v>
      </c>
      <c r="F20" s="103">
        <v>6</v>
      </c>
      <c r="G20" s="103">
        <v>13</v>
      </c>
      <c r="H20" s="103">
        <v>0</v>
      </c>
      <c r="I20" s="103">
        <v>6</v>
      </c>
      <c r="J20" s="103">
        <v>12</v>
      </c>
      <c r="K20" s="103">
        <v>1</v>
      </c>
      <c r="L20" s="103">
        <v>0</v>
      </c>
      <c r="M20" s="103">
        <v>3</v>
      </c>
    </row>
    <row r="21" spans="1:13" ht="15.75" customHeight="1">
      <c r="A21" s="78" t="s">
        <v>276</v>
      </c>
      <c r="B21" s="289">
        <v>121</v>
      </c>
      <c r="C21" s="104">
        <v>23</v>
      </c>
      <c r="D21" s="104">
        <v>26</v>
      </c>
      <c r="E21" s="104">
        <v>9</v>
      </c>
      <c r="F21" s="104">
        <v>4</v>
      </c>
      <c r="G21" s="104">
        <v>16</v>
      </c>
      <c r="H21" s="104">
        <v>0</v>
      </c>
      <c r="I21" s="104">
        <v>18</v>
      </c>
      <c r="J21" s="104">
        <v>20</v>
      </c>
      <c r="K21" s="104">
        <v>1</v>
      </c>
      <c r="L21" s="104">
        <v>4</v>
      </c>
      <c r="M21" s="104">
        <v>0</v>
      </c>
    </row>
    <row r="22" spans="1:13" ht="15.75" customHeight="1">
      <c r="A22" s="75" t="s">
        <v>161</v>
      </c>
      <c r="B22" s="290">
        <v>19</v>
      </c>
      <c r="C22" s="103">
        <v>3</v>
      </c>
      <c r="D22" s="103">
        <v>2</v>
      </c>
      <c r="E22" s="103">
        <v>3</v>
      </c>
      <c r="F22" s="103">
        <v>0</v>
      </c>
      <c r="G22" s="103">
        <v>2</v>
      </c>
      <c r="H22" s="103">
        <v>0</v>
      </c>
      <c r="I22" s="103">
        <v>6</v>
      </c>
      <c r="J22" s="103">
        <v>3</v>
      </c>
      <c r="K22" s="103">
        <v>0</v>
      </c>
      <c r="L22" s="103">
        <v>0</v>
      </c>
      <c r="M22" s="103">
        <v>0</v>
      </c>
    </row>
    <row r="23" spans="1:13" ht="15.75" customHeight="1">
      <c r="A23" s="75" t="s">
        <v>240</v>
      </c>
      <c r="B23" s="290">
        <v>24</v>
      </c>
      <c r="C23" s="103">
        <v>7</v>
      </c>
      <c r="D23" s="103">
        <v>7</v>
      </c>
      <c r="E23" s="103">
        <v>2</v>
      </c>
      <c r="F23" s="103">
        <v>0</v>
      </c>
      <c r="G23" s="103">
        <v>4</v>
      </c>
      <c r="H23" s="103">
        <v>0</v>
      </c>
      <c r="I23" s="103">
        <v>3</v>
      </c>
      <c r="J23" s="103">
        <v>0</v>
      </c>
      <c r="K23" s="103">
        <v>0</v>
      </c>
      <c r="L23" s="103">
        <v>1</v>
      </c>
      <c r="M23" s="103">
        <v>0</v>
      </c>
    </row>
    <row r="24" spans="1:13" ht="15.75" customHeight="1">
      <c r="A24" s="75" t="s">
        <v>163</v>
      </c>
      <c r="B24" s="290">
        <v>8</v>
      </c>
      <c r="C24" s="103">
        <v>1</v>
      </c>
      <c r="D24" s="103">
        <v>1</v>
      </c>
      <c r="E24" s="103">
        <v>0</v>
      </c>
      <c r="F24" s="103">
        <v>1</v>
      </c>
      <c r="G24" s="103">
        <v>1</v>
      </c>
      <c r="H24" s="103">
        <v>0</v>
      </c>
      <c r="I24" s="103">
        <v>0</v>
      </c>
      <c r="J24" s="103">
        <v>3</v>
      </c>
      <c r="K24" s="103">
        <v>1</v>
      </c>
      <c r="L24" s="103">
        <v>0</v>
      </c>
      <c r="M24" s="103">
        <v>0</v>
      </c>
    </row>
    <row r="25" spans="1:13" ht="15.75" customHeight="1">
      <c r="A25" s="75" t="s">
        <v>245</v>
      </c>
      <c r="B25" s="290">
        <v>17</v>
      </c>
      <c r="C25" s="103">
        <v>1</v>
      </c>
      <c r="D25" s="103">
        <v>4</v>
      </c>
      <c r="E25" s="103">
        <v>2</v>
      </c>
      <c r="F25" s="103">
        <v>2</v>
      </c>
      <c r="G25" s="103">
        <v>5</v>
      </c>
      <c r="H25" s="103">
        <v>0</v>
      </c>
      <c r="I25" s="103">
        <v>2</v>
      </c>
      <c r="J25" s="103">
        <v>0</v>
      </c>
      <c r="K25" s="103">
        <v>0</v>
      </c>
      <c r="L25" s="103">
        <v>1</v>
      </c>
      <c r="M25" s="103">
        <v>0</v>
      </c>
    </row>
    <row r="26" spans="1:13" ht="15.75" customHeight="1">
      <c r="A26" s="75" t="s">
        <v>165</v>
      </c>
      <c r="B26" s="290">
        <v>32</v>
      </c>
      <c r="C26" s="103">
        <v>8</v>
      </c>
      <c r="D26" s="103">
        <v>7</v>
      </c>
      <c r="E26" s="103">
        <v>0</v>
      </c>
      <c r="F26" s="103">
        <v>0</v>
      </c>
      <c r="G26" s="103">
        <v>0</v>
      </c>
      <c r="H26" s="103">
        <v>0</v>
      </c>
      <c r="I26" s="103">
        <v>6</v>
      </c>
      <c r="J26" s="103">
        <v>9</v>
      </c>
      <c r="K26" s="103">
        <v>0</v>
      </c>
      <c r="L26" s="103">
        <v>2</v>
      </c>
      <c r="M26" s="103">
        <v>0</v>
      </c>
    </row>
    <row r="27" spans="1:13" ht="15.75" customHeight="1">
      <c r="A27" s="137" t="s">
        <v>166</v>
      </c>
      <c r="B27" s="290">
        <v>21</v>
      </c>
      <c r="C27" s="103">
        <v>3</v>
      </c>
      <c r="D27" s="103">
        <v>5</v>
      </c>
      <c r="E27" s="103">
        <v>2</v>
      </c>
      <c r="F27" s="103">
        <v>1</v>
      </c>
      <c r="G27" s="103">
        <v>4</v>
      </c>
      <c r="H27" s="103">
        <v>0</v>
      </c>
      <c r="I27" s="103">
        <v>1</v>
      </c>
      <c r="J27" s="103">
        <v>5</v>
      </c>
      <c r="K27" s="103">
        <v>0</v>
      </c>
      <c r="L27" s="103">
        <v>0</v>
      </c>
      <c r="M27" s="103">
        <v>0</v>
      </c>
    </row>
    <row r="28" spans="1:13" ht="15.75" customHeight="1">
      <c r="A28" s="79" t="s">
        <v>277</v>
      </c>
      <c r="B28" s="289">
        <v>30</v>
      </c>
      <c r="C28" s="104">
        <v>10</v>
      </c>
      <c r="D28" s="104">
        <v>4</v>
      </c>
      <c r="E28" s="104">
        <v>1</v>
      </c>
      <c r="F28" s="104">
        <v>0</v>
      </c>
      <c r="G28" s="104">
        <v>1</v>
      </c>
      <c r="H28" s="104">
        <v>0</v>
      </c>
      <c r="I28" s="104">
        <v>8</v>
      </c>
      <c r="J28" s="104">
        <v>6</v>
      </c>
      <c r="K28" s="104">
        <v>0</v>
      </c>
      <c r="L28" s="104">
        <v>0</v>
      </c>
      <c r="M28" s="104">
        <v>0</v>
      </c>
    </row>
    <row r="29" spans="1:13" ht="15.75" customHeight="1">
      <c r="A29" s="78" t="s">
        <v>278</v>
      </c>
      <c r="B29" s="289">
        <v>77</v>
      </c>
      <c r="C29" s="104">
        <v>16</v>
      </c>
      <c r="D29" s="104">
        <v>10</v>
      </c>
      <c r="E29" s="104">
        <v>8</v>
      </c>
      <c r="F29" s="104">
        <v>7</v>
      </c>
      <c r="G29" s="104">
        <v>10</v>
      </c>
      <c r="H29" s="104">
        <v>0</v>
      </c>
      <c r="I29" s="104">
        <v>8</v>
      </c>
      <c r="J29" s="104">
        <v>8</v>
      </c>
      <c r="K29" s="104">
        <v>3</v>
      </c>
      <c r="L29" s="104">
        <v>5</v>
      </c>
      <c r="M29" s="104">
        <v>2</v>
      </c>
    </row>
    <row r="30" spans="1:13" ht="15.75" customHeight="1">
      <c r="A30" s="75" t="s">
        <v>194</v>
      </c>
      <c r="B30" s="290">
        <v>20</v>
      </c>
      <c r="C30" s="103">
        <v>3</v>
      </c>
      <c r="D30" s="103">
        <v>3</v>
      </c>
      <c r="E30" s="103">
        <v>3</v>
      </c>
      <c r="F30" s="103">
        <v>3</v>
      </c>
      <c r="G30" s="103">
        <v>4</v>
      </c>
      <c r="H30" s="103">
        <v>0</v>
      </c>
      <c r="I30" s="103">
        <v>2</v>
      </c>
      <c r="J30" s="103">
        <v>1</v>
      </c>
      <c r="K30" s="103">
        <v>0</v>
      </c>
      <c r="L30" s="103">
        <v>1</v>
      </c>
      <c r="M30" s="103">
        <v>0</v>
      </c>
    </row>
    <row r="31" spans="1:13" ht="15.75" customHeight="1">
      <c r="A31" s="137" t="s">
        <v>172</v>
      </c>
      <c r="B31" s="290">
        <v>28</v>
      </c>
      <c r="C31" s="103">
        <v>8</v>
      </c>
      <c r="D31" s="103">
        <v>3</v>
      </c>
      <c r="E31" s="103">
        <v>2</v>
      </c>
      <c r="F31" s="103">
        <v>0</v>
      </c>
      <c r="G31" s="103">
        <v>4</v>
      </c>
      <c r="H31" s="103">
        <v>0</v>
      </c>
      <c r="I31" s="103">
        <v>3</v>
      </c>
      <c r="J31" s="103">
        <v>2</v>
      </c>
      <c r="K31" s="103">
        <v>2</v>
      </c>
      <c r="L31" s="103">
        <v>3</v>
      </c>
      <c r="M31" s="103">
        <v>1</v>
      </c>
    </row>
    <row r="32" spans="1:13" ht="15.75" customHeight="1">
      <c r="A32" s="75" t="s">
        <v>166</v>
      </c>
      <c r="B32" s="290">
        <v>29</v>
      </c>
      <c r="C32" s="103">
        <v>5</v>
      </c>
      <c r="D32" s="103">
        <v>4</v>
      </c>
      <c r="E32" s="103">
        <v>3</v>
      </c>
      <c r="F32" s="103">
        <v>4</v>
      </c>
      <c r="G32" s="103">
        <v>2</v>
      </c>
      <c r="H32" s="103">
        <v>0</v>
      </c>
      <c r="I32" s="103">
        <v>3</v>
      </c>
      <c r="J32" s="103">
        <v>5</v>
      </c>
      <c r="K32" s="103">
        <v>1</v>
      </c>
      <c r="L32" s="103">
        <v>1</v>
      </c>
      <c r="M32" s="103">
        <v>1</v>
      </c>
    </row>
    <row r="33" spans="1:13" ht="15.75" customHeight="1">
      <c r="A33" s="78" t="s">
        <v>279</v>
      </c>
      <c r="B33" s="289">
        <v>68</v>
      </c>
      <c r="C33" s="104">
        <v>19</v>
      </c>
      <c r="D33" s="104">
        <v>14</v>
      </c>
      <c r="E33" s="104">
        <v>9</v>
      </c>
      <c r="F33" s="104">
        <v>2</v>
      </c>
      <c r="G33" s="104">
        <v>16</v>
      </c>
      <c r="H33" s="104">
        <v>0</v>
      </c>
      <c r="I33" s="104">
        <v>3</v>
      </c>
      <c r="J33" s="104">
        <v>1</v>
      </c>
      <c r="K33" s="104">
        <v>2</v>
      </c>
      <c r="L33" s="104">
        <v>2</v>
      </c>
      <c r="M33" s="104">
        <v>0</v>
      </c>
    </row>
    <row r="34" spans="1:13" ht="15.75" customHeight="1">
      <c r="A34" s="75" t="s">
        <v>281</v>
      </c>
      <c r="B34" s="290">
        <v>25</v>
      </c>
      <c r="C34" s="103">
        <v>8</v>
      </c>
      <c r="D34" s="103">
        <v>5</v>
      </c>
      <c r="E34" s="103">
        <v>4</v>
      </c>
      <c r="F34" s="103">
        <v>0</v>
      </c>
      <c r="G34" s="103">
        <v>5</v>
      </c>
      <c r="H34" s="103">
        <v>0</v>
      </c>
      <c r="I34" s="103">
        <v>1</v>
      </c>
      <c r="J34" s="103">
        <v>0</v>
      </c>
      <c r="K34" s="103">
        <v>1</v>
      </c>
      <c r="L34" s="103">
        <v>1</v>
      </c>
      <c r="M34" s="103">
        <v>0</v>
      </c>
    </row>
    <row r="35" spans="1:13" ht="15.75" customHeight="1">
      <c r="A35" s="137" t="s">
        <v>190</v>
      </c>
      <c r="B35" s="290">
        <v>7</v>
      </c>
      <c r="C35" s="103">
        <v>2</v>
      </c>
      <c r="D35" s="103">
        <v>0</v>
      </c>
      <c r="E35" s="103">
        <v>1</v>
      </c>
      <c r="F35" s="103">
        <v>1</v>
      </c>
      <c r="G35" s="103">
        <v>1</v>
      </c>
      <c r="H35" s="103">
        <v>0</v>
      </c>
      <c r="I35" s="103">
        <v>1</v>
      </c>
      <c r="J35" s="103">
        <v>0</v>
      </c>
      <c r="K35" s="103">
        <v>1</v>
      </c>
      <c r="L35" s="103">
        <v>0</v>
      </c>
      <c r="M35" s="103">
        <v>0</v>
      </c>
    </row>
    <row r="36" spans="1:13" ht="15.75" customHeight="1">
      <c r="A36" s="75" t="s">
        <v>166</v>
      </c>
      <c r="B36" s="290">
        <v>36</v>
      </c>
      <c r="C36" s="103">
        <v>9</v>
      </c>
      <c r="D36" s="103">
        <v>9</v>
      </c>
      <c r="E36" s="103">
        <v>4</v>
      </c>
      <c r="F36" s="103">
        <v>1</v>
      </c>
      <c r="G36" s="103">
        <v>10</v>
      </c>
      <c r="H36" s="103">
        <v>0</v>
      </c>
      <c r="I36" s="103">
        <v>1</v>
      </c>
      <c r="J36" s="103">
        <v>1</v>
      </c>
      <c r="K36" s="103">
        <v>0</v>
      </c>
      <c r="L36" s="103">
        <v>1</v>
      </c>
      <c r="M36" s="103">
        <v>0</v>
      </c>
    </row>
    <row r="37" spans="1:13" ht="15.75" customHeight="1" thickBot="1">
      <c r="A37" s="138" t="s">
        <v>280</v>
      </c>
      <c r="B37" s="291">
        <v>4</v>
      </c>
      <c r="C37" s="105">
        <v>2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2</v>
      </c>
      <c r="J37" s="105">
        <v>0</v>
      </c>
      <c r="K37" s="105">
        <v>0</v>
      </c>
      <c r="L37" s="105">
        <v>0</v>
      </c>
      <c r="M37" s="105">
        <v>0</v>
      </c>
    </row>
    <row r="38" spans="1:13" ht="15">
      <c r="A38" s="391" t="s">
        <v>635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</row>
  </sheetData>
  <sheetProtection/>
  <mergeCells count="5">
    <mergeCell ref="A1:M1"/>
    <mergeCell ref="A2:M2"/>
    <mergeCell ref="A3:M3"/>
    <mergeCell ref="C4:M4"/>
    <mergeCell ref="A38:M38"/>
  </mergeCells>
  <printOptions/>
  <pageMargins left="0.7" right="0.7" top="0.787401575" bottom="0.7874015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="85" zoomScaleNormal="85" zoomScalePageLayoutView="0" workbookViewId="0" topLeftCell="A1">
      <selection activeCell="M40" sqref="M40"/>
    </sheetView>
  </sheetViews>
  <sheetFormatPr defaultColWidth="11.421875" defaultRowHeight="12.75"/>
  <cols>
    <col min="1" max="1" width="54.7109375" style="110" customWidth="1"/>
    <col min="2" max="2" width="6.140625" style="110" customWidth="1"/>
    <col min="3" max="3" width="8.8515625" style="110" bestFit="1" customWidth="1"/>
    <col min="4" max="4" width="9.28125" style="110" bestFit="1" customWidth="1"/>
    <col min="5" max="16384" width="11.421875" style="110" customWidth="1"/>
  </cols>
  <sheetData>
    <row r="1" spans="1:9" ht="18" customHeight="1">
      <c r="A1" s="412" t="s">
        <v>512</v>
      </c>
      <c r="B1" s="412"/>
      <c r="C1" s="412"/>
      <c r="D1" s="412"/>
      <c r="E1" s="412"/>
      <c r="F1" s="412"/>
      <c r="G1" s="412"/>
      <c r="H1" s="412"/>
      <c r="I1" s="412"/>
    </row>
    <row r="2" spans="1:4" ht="15.75" customHeight="1">
      <c r="A2" s="413" t="s">
        <v>528</v>
      </c>
      <c r="B2" s="413"/>
      <c r="C2" s="413"/>
      <c r="D2" s="413"/>
    </row>
    <row r="3" spans="1:4" ht="15.75" customHeight="1" thickBot="1">
      <c r="A3" s="414" t="s">
        <v>496</v>
      </c>
      <c r="B3" s="414"/>
      <c r="C3" s="414"/>
      <c r="D3" s="414"/>
    </row>
    <row r="4" spans="1:4" ht="15.75" customHeight="1">
      <c r="A4" s="129"/>
      <c r="B4" s="354" t="s">
        <v>134</v>
      </c>
      <c r="C4" s="415" t="s">
        <v>421</v>
      </c>
      <c r="D4" s="415"/>
    </row>
    <row r="5" spans="1:4" ht="15.75" customHeight="1">
      <c r="A5" s="129"/>
      <c r="B5" s="65"/>
      <c r="C5" s="355" t="s">
        <v>22</v>
      </c>
      <c r="D5" s="355" t="s">
        <v>21</v>
      </c>
    </row>
    <row r="6" spans="1:4" ht="15.75" customHeight="1">
      <c r="A6" s="131" t="s">
        <v>134</v>
      </c>
      <c r="B6" s="285">
        <v>3921</v>
      </c>
      <c r="C6" s="130">
        <v>1961</v>
      </c>
      <c r="D6" s="130">
        <v>1960</v>
      </c>
    </row>
    <row r="7" spans="1:4" ht="15.75" customHeight="1">
      <c r="A7" s="131" t="s">
        <v>363</v>
      </c>
      <c r="B7" s="285">
        <v>1811</v>
      </c>
      <c r="C7" s="130">
        <v>805</v>
      </c>
      <c r="D7" s="130">
        <v>1006</v>
      </c>
    </row>
    <row r="8" spans="1:4" ht="15.75" customHeight="1">
      <c r="A8" s="132" t="s">
        <v>364</v>
      </c>
      <c r="B8" s="286">
        <v>7</v>
      </c>
      <c r="C8" s="132">
        <v>3</v>
      </c>
      <c r="D8" s="132">
        <v>4</v>
      </c>
    </row>
    <row r="9" spans="1:4" ht="15.75" customHeight="1">
      <c r="A9" s="132" t="s">
        <v>365</v>
      </c>
      <c r="B9" s="286">
        <v>7</v>
      </c>
      <c r="C9" s="132">
        <v>3</v>
      </c>
      <c r="D9" s="132">
        <v>4</v>
      </c>
    </row>
    <row r="10" spans="1:4" ht="15.75" customHeight="1">
      <c r="A10" s="132" t="s">
        <v>366</v>
      </c>
      <c r="B10" s="286">
        <v>628</v>
      </c>
      <c r="C10" s="132">
        <v>160</v>
      </c>
      <c r="D10" s="132">
        <v>468</v>
      </c>
    </row>
    <row r="11" spans="1:4" ht="15.75" customHeight="1">
      <c r="A11" s="132" t="s">
        <v>367</v>
      </c>
      <c r="B11" s="286">
        <v>1</v>
      </c>
      <c r="C11" s="133">
        <v>0</v>
      </c>
      <c r="D11" s="132">
        <v>1</v>
      </c>
    </row>
    <row r="12" spans="1:4" ht="15.75" customHeight="1">
      <c r="A12" s="132" t="s">
        <v>368</v>
      </c>
      <c r="B12" s="286">
        <v>80</v>
      </c>
      <c r="C12" s="132">
        <v>29</v>
      </c>
      <c r="D12" s="132">
        <v>51</v>
      </c>
    </row>
    <row r="13" spans="1:4" ht="15.75" customHeight="1">
      <c r="A13" s="132" t="s">
        <v>369</v>
      </c>
      <c r="B13" s="286">
        <v>6</v>
      </c>
      <c r="C13" s="132">
        <v>4</v>
      </c>
      <c r="D13" s="132">
        <v>2</v>
      </c>
    </row>
    <row r="14" spans="1:4" ht="15.75" customHeight="1">
      <c r="A14" s="132" t="s">
        <v>370</v>
      </c>
      <c r="B14" s="286">
        <v>17</v>
      </c>
      <c r="C14" s="132">
        <v>3</v>
      </c>
      <c r="D14" s="132">
        <v>14</v>
      </c>
    </row>
    <row r="15" spans="1:4" ht="15.75" customHeight="1">
      <c r="A15" s="132" t="s">
        <v>371</v>
      </c>
      <c r="B15" s="286">
        <v>4</v>
      </c>
      <c r="C15" s="132">
        <v>3</v>
      </c>
      <c r="D15" s="132">
        <v>1</v>
      </c>
    </row>
    <row r="16" spans="1:4" ht="15.75" customHeight="1">
      <c r="A16" s="132" t="s">
        <v>372</v>
      </c>
      <c r="B16" s="286">
        <v>20</v>
      </c>
      <c r="C16" s="132">
        <v>5</v>
      </c>
      <c r="D16" s="132">
        <v>15</v>
      </c>
    </row>
    <row r="17" spans="1:4" ht="15.75" customHeight="1">
      <c r="A17" s="132" t="s">
        <v>373</v>
      </c>
      <c r="B17" s="286">
        <v>39</v>
      </c>
      <c r="C17" s="132">
        <v>8</v>
      </c>
      <c r="D17" s="132">
        <v>31</v>
      </c>
    </row>
    <row r="18" spans="1:4" ht="15.75" customHeight="1">
      <c r="A18" s="132" t="s">
        <v>374</v>
      </c>
      <c r="B18" s="286">
        <v>18</v>
      </c>
      <c r="C18" s="132">
        <v>6</v>
      </c>
      <c r="D18" s="132">
        <v>12</v>
      </c>
    </row>
    <row r="19" spans="1:4" ht="15.75" customHeight="1">
      <c r="A19" s="132" t="s">
        <v>375</v>
      </c>
      <c r="B19" s="286">
        <v>11</v>
      </c>
      <c r="C19" s="132">
        <v>5</v>
      </c>
      <c r="D19" s="132">
        <v>6</v>
      </c>
    </row>
    <row r="20" spans="1:4" ht="15.75" customHeight="1">
      <c r="A20" s="132" t="s">
        <v>376</v>
      </c>
      <c r="B20" s="286">
        <v>115</v>
      </c>
      <c r="C20" s="132">
        <v>47</v>
      </c>
      <c r="D20" s="132">
        <v>68</v>
      </c>
    </row>
    <row r="21" spans="1:4" ht="15.75" customHeight="1">
      <c r="A21" s="132" t="s">
        <v>377</v>
      </c>
      <c r="B21" s="286">
        <v>89</v>
      </c>
      <c r="C21" s="132">
        <v>26</v>
      </c>
      <c r="D21" s="132">
        <v>63</v>
      </c>
    </row>
    <row r="22" spans="1:4" ht="15.75" customHeight="1">
      <c r="A22" s="132" t="s">
        <v>378</v>
      </c>
      <c r="B22" s="286">
        <v>33</v>
      </c>
      <c r="C22" s="132">
        <v>12</v>
      </c>
      <c r="D22" s="132">
        <v>21</v>
      </c>
    </row>
    <row r="23" spans="1:4" ht="15.75" customHeight="1">
      <c r="A23" s="132" t="s">
        <v>379</v>
      </c>
      <c r="B23" s="286">
        <v>15</v>
      </c>
      <c r="C23" s="132">
        <v>1</v>
      </c>
      <c r="D23" s="132">
        <v>14</v>
      </c>
    </row>
    <row r="24" spans="1:4" ht="15.75" customHeight="1">
      <c r="A24" s="132" t="s">
        <v>380</v>
      </c>
      <c r="B24" s="286">
        <v>180</v>
      </c>
      <c r="C24" s="132">
        <v>11</v>
      </c>
      <c r="D24" s="132">
        <v>169</v>
      </c>
    </row>
    <row r="25" spans="1:4" ht="15.75" customHeight="1">
      <c r="A25" s="132" t="s">
        <v>381</v>
      </c>
      <c r="B25" s="286">
        <v>1176</v>
      </c>
      <c r="C25" s="132">
        <v>642</v>
      </c>
      <c r="D25" s="132">
        <v>534</v>
      </c>
    </row>
    <row r="26" spans="1:4" ht="15.75" customHeight="1">
      <c r="A26" s="132" t="s">
        <v>382</v>
      </c>
      <c r="B26" s="286">
        <v>165</v>
      </c>
      <c r="C26" s="132">
        <v>96</v>
      </c>
      <c r="D26" s="132">
        <v>69</v>
      </c>
    </row>
    <row r="27" spans="1:4" ht="15.75" customHeight="1">
      <c r="A27" s="132" t="s">
        <v>383</v>
      </c>
      <c r="B27" s="286">
        <v>42</v>
      </c>
      <c r="C27" s="132">
        <v>9</v>
      </c>
      <c r="D27" s="132">
        <v>33</v>
      </c>
    </row>
    <row r="28" spans="1:4" ht="15.75" customHeight="1">
      <c r="A28" s="132" t="s">
        <v>384</v>
      </c>
      <c r="B28" s="286">
        <v>89</v>
      </c>
      <c r="C28" s="132">
        <v>64</v>
      </c>
      <c r="D28" s="132">
        <v>25</v>
      </c>
    </row>
    <row r="29" spans="1:4" ht="15.75" customHeight="1">
      <c r="A29" s="132" t="s">
        <v>385</v>
      </c>
      <c r="B29" s="286">
        <v>9</v>
      </c>
      <c r="C29" s="132">
        <v>3</v>
      </c>
      <c r="D29" s="132">
        <v>6</v>
      </c>
    </row>
    <row r="30" spans="1:4" ht="15.75" customHeight="1">
      <c r="A30" s="132" t="s">
        <v>386</v>
      </c>
      <c r="B30" s="286">
        <v>5</v>
      </c>
      <c r="C30" s="132">
        <v>1</v>
      </c>
      <c r="D30" s="132">
        <v>4</v>
      </c>
    </row>
    <row r="31" spans="1:4" ht="15.75" customHeight="1">
      <c r="A31" s="132" t="s">
        <v>387</v>
      </c>
      <c r="B31" s="286">
        <v>20</v>
      </c>
      <c r="C31" s="132">
        <v>8</v>
      </c>
      <c r="D31" s="132">
        <v>12</v>
      </c>
    </row>
    <row r="32" spans="1:4" ht="15.75" customHeight="1">
      <c r="A32" s="132" t="s">
        <v>388</v>
      </c>
      <c r="B32" s="286">
        <v>155</v>
      </c>
      <c r="C32" s="132">
        <v>60</v>
      </c>
      <c r="D32" s="132">
        <v>95</v>
      </c>
    </row>
    <row r="33" spans="1:4" ht="15.75" customHeight="1">
      <c r="A33" s="132" t="s">
        <v>389</v>
      </c>
      <c r="B33" s="286">
        <v>8</v>
      </c>
      <c r="C33" s="132">
        <v>5</v>
      </c>
      <c r="D33" s="132">
        <v>3</v>
      </c>
    </row>
    <row r="34" spans="1:4" ht="15.75" customHeight="1">
      <c r="A34" s="132" t="s">
        <v>390</v>
      </c>
      <c r="B34" s="286">
        <v>94</v>
      </c>
      <c r="C34" s="132">
        <v>51</v>
      </c>
      <c r="D34" s="132">
        <v>43</v>
      </c>
    </row>
    <row r="35" spans="1:4" ht="15.75" customHeight="1">
      <c r="A35" s="132" t="s">
        <v>391</v>
      </c>
      <c r="B35" s="286">
        <v>56</v>
      </c>
      <c r="C35" s="132">
        <v>20</v>
      </c>
      <c r="D35" s="132">
        <v>36</v>
      </c>
    </row>
    <row r="36" spans="1:4" ht="15.75" customHeight="1">
      <c r="A36" s="132" t="s">
        <v>392</v>
      </c>
      <c r="B36" s="286">
        <v>37</v>
      </c>
      <c r="C36" s="132">
        <v>14</v>
      </c>
      <c r="D36" s="132">
        <v>23</v>
      </c>
    </row>
    <row r="37" spans="1:4" ht="15.75" customHeight="1">
      <c r="A37" s="132" t="s">
        <v>393</v>
      </c>
      <c r="B37" s="286">
        <v>20</v>
      </c>
      <c r="C37" s="132">
        <v>8</v>
      </c>
      <c r="D37" s="132">
        <v>12</v>
      </c>
    </row>
    <row r="38" spans="1:4" ht="15.75" customHeight="1">
      <c r="A38" s="132" t="s">
        <v>394</v>
      </c>
      <c r="B38" s="286">
        <v>151</v>
      </c>
      <c r="C38" s="132">
        <v>89</v>
      </c>
      <c r="D38" s="132">
        <v>62</v>
      </c>
    </row>
    <row r="39" spans="1:4" ht="15.75" customHeight="1">
      <c r="A39" s="132" t="s">
        <v>395</v>
      </c>
      <c r="B39" s="286">
        <v>49</v>
      </c>
      <c r="C39" s="132">
        <v>26</v>
      </c>
      <c r="D39" s="132">
        <v>23</v>
      </c>
    </row>
    <row r="40" spans="1:4" ht="15.75" customHeight="1">
      <c r="A40" s="132" t="s">
        <v>396</v>
      </c>
      <c r="B40" s="286">
        <v>34</v>
      </c>
      <c r="C40" s="132">
        <v>19</v>
      </c>
      <c r="D40" s="132">
        <v>15</v>
      </c>
    </row>
    <row r="41" spans="1:4" ht="15.75" customHeight="1">
      <c r="A41" s="132" t="s">
        <v>397</v>
      </c>
      <c r="B41" s="286">
        <v>79</v>
      </c>
      <c r="C41" s="132">
        <v>56</v>
      </c>
      <c r="D41" s="132">
        <v>23</v>
      </c>
    </row>
    <row r="42" spans="1:4" ht="15.75" customHeight="1">
      <c r="A42" s="132" t="s">
        <v>398</v>
      </c>
      <c r="B42" s="286">
        <v>74</v>
      </c>
      <c r="C42" s="132">
        <v>55</v>
      </c>
      <c r="D42" s="132">
        <v>19</v>
      </c>
    </row>
    <row r="43" spans="1:4" ht="15.75" customHeight="1">
      <c r="A43" s="132" t="s">
        <v>399</v>
      </c>
      <c r="B43" s="286">
        <v>33</v>
      </c>
      <c r="C43" s="132">
        <v>15</v>
      </c>
      <c r="D43" s="132">
        <v>18</v>
      </c>
    </row>
    <row r="44" spans="1:4" ht="15.75" customHeight="1">
      <c r="A44" s="132" t="s">
        <v>400</v>
      </c>
      <c r="B44" s="286">
        <v>44</v>
      </c>
      <c r="C44" s="132">
        <v>32</v>
      </c>
      <c r="D44" s="132">
        <v>12</v>
      </c>
    </row>
    <row r="45" spans="1:4" ht="15.75" customHeight="1">
      <c r="A45" s="132" t="s">
        <v>401</v>
      </c>
      <c r="B45" s="286">
        <v>11</v>
      </c>
      <c r="C45" s="132">
        <v>10</v>
      </c>
      <c r="D45" s="132">
        <v>1</v>
      </c>
    </row>
    <row r="46" spans="1:4" ht="15.75" customHeight="1">
      <c r="A46" s="134" t="s">
        <v>402</v>
      </c>
      <c r="B46" s="286">
        <v>1</v>
      </c>
      <c r="C46" s="132">
        <v>1</v>
      </c>
      <c r="D46" s="133">
        <v>0</v>
      </c>
    </row>
    <row r="47" spans="1:4" ht="15.75" customHeight="1">
      <c r="A47" s="131" t="s">
        <v>403</v>
      </c>
      <c r="B47" s="285">
        <v>59</v>
      </c>
      <c r="C47" s="130">
        <v>22</v>
      </c>
      <c r="D47" s="130">
        <v>37</v>
      </c>
    </row>
    <row r="48" spans="1:4" ht="15.75" customHeight="1">
      <c r="A48" s="131" t="s">
        <v>509</v>
      </c>
      <c r="B48" s="285">
        <v>693</v>
      </c>
      <c r="C48" s="130">
        <v>515</v>
      </c>
      <c r="D48" s="130">
        <v>178</v>
      </c>
    </row>
    <row r="49" spans="1:4" ht="15.75" customHeight="1">
      <c r="A49" s="131" t="s">
        <v>405</v>
      </c>
      <c r="B49" s="285">
        <v>1097</v>
      </c>
      <c r="C49" s="130">
        <v>508</v>
      </c>
      <c r="D49" s="130">
        <v>589</v>
      </c>
    </row>
    <row r="50" spans="1:4" ht="15.75" customHeight="1" thickBot="1">
      <c r="A50" s="135" t="s">
        <v>406</v>
      </c>
      <c r="B50" s="287">
        <v>261</v>
      </c>
      <c r="C50" s="136">
        <v>111</v>
      </c>
      <c r="D50" s="136">
        <v>150</v>
      </c>
    </row>
    <row r="51" spans="1:4" ht="15">
      <c r="A51" s="391" t="s">
        <v>635</v>
      </c>
      <c r="B51" s="391"/>
      <c r="C51" s="391"/>
      <c r="D51" s="391"/>
    </row>
  </sheetData>
  <sheetProtection/>
  <mergeCells count="5">
    <mergeCell ref="A2:D2"/>
    <mergeCell ref="A3:D3"/>
    <mergeCell ref="C4:D4"/>
    <mergeCell ref="A1:I1"/>
    <mergeCell ref="A51:D5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zoomScale="85" zoomScaleNormal="85" zoomScalePageLayoutView="0" workbookViewId="0" topLeftCell="A1">
      <selection activeCell="E33" sqref="E33"/>
    </sheetView>
  </sheetViews>
  <sheetFormatPr defaultColWidth="11.421875" defaultRowHeight="12.75"/>
  <cols>
    <col min="1" max="1" width="11.421875" style="41" customWidth="1"/>
    <col min="2" max="2" width="6.8515625" style="41" bestFit="1" customWidth="1"/>
    <col min="3" max="3" width="19.8515625" style="41" bestFit="1" customWidth="1"/>
    <col min="4" max="4" width="9.421875" style="41" bestFit="1" customWidth="1"/>
    <col min="5" max="5" width="9.7109375" style="41" bestFit="1" customWidth="1"/>
    <col min="6" max="6" width="66.8515625" style="41" customWidth="1"/>
    <col min="7" max="16384" width="11.421875" style="41" customWidth="1"/>
  </cols>
  <sheetData>
    <row r="1" spans="1:11" ht="18" customHeight="1">
      <c r="A1" s="397" t="s">
        <v>424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7" ht="15">
      <c r="A2" s="423" t="s">
        <v>528</v>
      </c>
      <c r="B2" s="423"/>
      <c r="C2" s="423"/>
      <c r="D2" s="423"/>
      <c r="E2" s="423"/>
      <c r="F2" s="423"/>
      <c r="G2" s="423"/>
    </row>
    <row r="3" spans="1:14" ht="15.75" thickBot="1">
      <c r="A3" s="395" t="s">
        <v>497</v>
      </c>
      <c r="B3" s="395"/>
      <c r="C3" s="395"/>
      <c r="D3" s="395"/>
      <c r="E3" s="395"/>
      <c r="F3" s="111"/>
      <c r="G3" s="111"/>
      <c r="I3" s="111"/>
      <c r="J3" s="111"/>
      <c r="K3" s="111"/>
      <c r="L3" s="111"/>
      <c r="M3" s="111"/>
      <c r="N3" s="111"/>
    </row>
    <row r="4" spans="1:5" ht="15.75">
      <c r="A4" s="114"/>
      <c r="B4" s="328" t="s">
        <v>134</v>
      </c>
      <c r="C4" s="328" t="s">
        <v>122</v>
      </c>
      <c r="D4" s="328"/>
      <c r="E4" s="328"/>
    </row>
    <row r="5" spans="1:5" ht="15.75">
      <c r="A5" s="114"/>
      <c r="B5" s="340"/>
      <c r="C5" s="357" t="s">
        <v>126</v>
      </c>
      <c r="D5" s="258" t="s">
        <v>130</v>
      </c>
      <c r="E5" s="258" t="s">
        <v>132</v>
      </c>
    </row>
    <row r="6" spans="1:5" ht="15.75">
      <c r="A6" s="115" t="s">
        <v>134</v>
      </c>
      <c r="B6" s="261">
        <v>10</v>
      </c>
      <c r="C6" s="98">
        <v>1</v>
      </c>
      <c r="D6" s="98">
        <v>6</v>
      </c>
      <c r="E6" s="98">
        <v>3</v>
      </c>
    </row>
    <row r="7" spans="1:5" ht="15">
      <c r="A7" s="123" t="s">
        <v>136</v>
      </c>
      <c r="B7" s="262">
        <v>10</v>
      </c>
      <c r="C7" s="68">
        <v>1</v>
      </c>
      <c r="D7" s="68">
        <v>6</v>
      </c>
      <c r="E7" s="68">
        <v>3</v>
      </c>
    </row>
    <row r="8" spans="1:5" ht="15">
      <c r="A8" s="128" t="s">
        <v>22</v>
      </c>
      <c r="B8" s="262">
        <v>1</v>
      </c>
      <c r="C8" s="68">
        <v>0</v>
      </c>
      <c r="D8" s="68">
        <v>1</v>
      </c>
      <c r="E8" s="68">
        <v>0</v>
      </c>
    </row>
    <row r="9" spans="1:5" ht="15.75" thickBot="1">
      <c r="A9" s="122" t="s">
        <v>21</v>
      </c>
      <c r="B9" s="263">
        <v>9</v>
      </c>
      <c r="C9" s="83">
        <v>1</v>
      </c>
      <c r="D9" s="83">
        <v>5</v>
      </c>
      <c r="E9" s="83">
        <v>3</v>
      </c>
    </row>
    <row r="10" spans="1:5" ht="15">
      <c r="A10" s="391" t="s">
        <v>635</v>
      </c>
      <c r="B10" s="391"/>
      <c r="C10" s="391"/>
      <c r="D10" s="391"/>
      <c r="E10" s="391"/>
    </row>
    <row r="11" spans="1:5" ht="15">
      <c r="A11" s="181"/>
      <c r="B11" s="181"/>
      <c r="C11" s="181"/>
      <c r="D11" s="181"/>
      <c r="E11" s="181"/>
    </row>
    <row r="12" spans="1:6" ht="15.75">
      <c r="A12" s="421" t="s">
        <v>202</v>
      </c>
      <c r="B12" s="421"/>
      <c r="C12" s="421"/>
      <c r="D12" s="421"/>
      <c r="E12" s="421"/>
      <c r="F12" s="67"/>
    </row>
    <row r="13" spans="1:6" ht="15">
      <c r="A13" s="420" t="s">
        <v>453</v>
      </c>
      <c r="B13" s="420"/>
      <c r="C13" s="420"/>
      <c r="D13" s="420"/>
      <c r="E13" s="420"/>
      <c r="F13" s="420"/>
    </row>
  </sheetData>
  <sheetProtection/>
  <mergeCells count="6">
    <mergeCell ref="A2:G2"/>
    <mergeCell ref="A13:F13"/>
    <mergeCell ref="A12:E12"/>
    <mergeCell ref="A3:E3"/>
    <mergeCell ref="A1:K1"/>
    <mergeCell ref="A10:E10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"/>
  <sheetViews>
    <sheetView zoomScale="85" zoomScaleNormal="85" zoomScalePageLayoutView="0" workbookViewId="0" topLeftCell="A1">
      <selection activeCell="H31" sqref="H31"/>
    </sheetView>
  </sheetViews>
  <sheetFormatPr defaultColWidth="11.421875" defaultRowHeight="12.75"/>
  <cols>
    <col min="1" max="1" width="17.00390625" style="13" bestFit="1" customWidth="1"/>
    <col min="2" max="2" width="8.00390625" style="13" bestFit="1" customWidth="1"/>
    <col min="3" max="3" width="7.8515625" style="13" bestFit="1" customWidth="1"/>
    <col min="4" max="4" width="9.28125" style="13" bestFit="1" customWidth="1"/>
    <col min="5" max="5" width="8.8515625" style="13" bestFit="1" customWidth="1"/>
    <col min="6" max="6" width="14.140625" style="13" bestFit="1" customWidth="1"/>
    <col min="7" max="7" width="9.28125" style="13" bestFit="1" customWidth="1"/>
    <col min="8" max="8" width="9.7109375" style="13" bestFit="1" customWidth="1"/>
    <col min="9" max="9" width="9.00390625" style="13" bestFit="1" customWidth="1"/>
    <col min="10" max="10" width="9.28125" style="13" bestFit="1" customWidth="1"/>
    <col min="11" max="11" width="10.28125" style="13" bestFit="1" customWidth="1"/>
    <col min="12" max="12" width="9.28125" style="13" bestFit="1" customWidth="1"/>
    <col min="13" max="13" width="15.140625" style="13" bestFit="1" customWidth="1"/>
    <col min="14" max="16384" width="11.421875" style="13" customWidth="1"/>
  </cols>
  <sheetData>
    <row r="1" spans="1:13" ht="18">
      <c r="A1" s="397" t="s">
        <v>139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5">
      <c r="A2" s="394" t="s">
        <v>528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s="25" customFormat="1" ht="15.75" customHeight="1" thickBot="1">
      <c r="A3" s="395" t="s">
        <v>436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25" customFormat="1" ht="15.75" customHeight="1">
      <c r="A4" s="114"/>
      <c r="B4" s="328" t="s">
        <v>134</v>
      </c>
      <c r="C4" s="396" t="s">
        <v>122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s="25" customFormat="1" ht="15.75" customHeight="1">
      <c r="A5" s="114"/>
      <c r="B5" s="329"/>
      <c r="C5" s="258" t="s">
        <v>123</v>
      </c>
      <c r="D5" s="258" t="s">
        <v>124</v>
      </c>
      <c r="E5" s="258" t="s">
        <v>125</v>
      </c>
      <c r="F5" s="258" t="s">
        <v>126</v>
      </c>
      <c r="G5" s="258" t="s">
        <v>127</v>
      </c>
      <c r="H5" s="258" t="s">
        <v>128</v>
      </c>
      <c r="I5" s="258" t="s">
        <v>129</v>
      </c>
      <c r="J5" s="258" t="s">
        <v>130</v>
      </c>
      <c r="K5" s="258" t="s">
        <v>131</v>
      </c>
      <c r="L5" s="258" t="s">
        <v>132</v>
      </c>
      <c r="M5" s="258" t="s">
        <v>133</v>
      </c>
    </row>
    <row r="6" spans="1:13" s="25" customFormat="1" ht="15.75" customHeight="1">
      <c r="A6" s="128" t="s">
        <v>74</v>
      </c>
      <c r="B6" s="264">
        <v>0.658</v>
      </c>
      <c r="C6" s="154">
        <v>0.573</v>
      </c>
      <c r="D6" s="154">
        <v>0.63</v>
      </c>
      <c r="E6" s="154">
        <v>0.731</v>
      </c>
      <c r="F6" s="154">
        <v>0.787</v>
      </c>
      <c r="G6" s="154">
        <v>0.621</v>
      </c>
      <c r="H6" s="154">
        <v>0.742</v>
      </c>
      <c r="I6" s="154">
        <v>0.656</v>
      </c>
      <c r="J6" s="154">
        <v>0.609</v>
      </c>
      <c r="K6" s="154">
        <v>0.688</v>
      </c>
      <c r="L6" s="154">
        <v>0.741</v>
      </c>
      <c r="M6" s="154">
        <v>0.758</v>
      </c>
    </row>
    <row r="7" spans="1:13" s="25" customFormat="1" ht="15.75" customHeight="1" thickBot="1">
      <c r="A7" s="122" t="s">
        <v>76</v>
      </c>
      <c r="B7" s="265">
        <v>0.342</v>
      </c>
      <c r="C7" s="155">
        <v>0.427</v>
      </c>
      <c r="D7" s="155">
        <v>0.37</v>
      </c>
      <c r="E7" s="155">
        <v>0.269</v>
      </c>
      <c r="F7" s="155">
        <v>0.213</v>
      </c>
      <c r="G7" s="155">
        <v>0.379</v>
      </c>
      <c r="H7" s="155">
        <v>0.258</v>
      </c>
      <c r="I7" s="155">
        <v>0.344</v>
      </c>
      <c r="J7" s="155">
        <v>0.391</v>
      </c>
      <c r="K7" s="155">
        <v>0.312</v>
      </c>
      <c r="L7" s="155">
        <v>0.259</v>
      </c>
      <c r="M7" s="155">
        <v>0.242</v>
      </c>
    </row>
    <row r="8" spans="1:13" ht="15">
      <c r="A8" s="392" t="s">
        <v>635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</row>
  </sheetData>
  <sheetProtection/>
  <mergeCells count="5">
    <mergeCell ref="A1:M1"/>
    <mergeCell ref="A2:M2"/>
    <mergeCell ref="A3:M3"/>
    <mergeCell ref="C4:M4"/>
    <mergeCell ref="A8:M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2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"/>
  <sheetViews>
    <sheetView zoomScale="85" zoomScaleNormal="85" zoomScalePageLayoutView="0" workbookViewId="0" topLeftCell="A1">
      <selection activeCell="G33" sqref="G33"/>
    </sheetView>
  </sheetViews>
  <sheetFormatPr defaultColWidth="11.421875" defaultRowHeight="12.75"/>
  <cols>
    <col min="1" max="1" width="38.140625" style="41" bestFit="1" customWidth="1"/>
    <col min="2" max="2" width="6.8515625" style="41" bestFit="1" customWidth="1"/>
    <col min="3" max="3" width="8.8515625" style="41" bestFit="1" customWidth="1"/>
    <col min="4" max="4" width="9.28125" style="41" bestFit="1" customWidth="1"/>
    <col min="5" max="16384" width="11.421875" style="41" customWidth="1"/>
  </cols>
  <sheetData>
    <row r="1" spans="1:8" ht="18" customHeight="1">
      <c r="A1" s="397" t="s">
        <v>513</v>
      </c>
      <c r="B1" s="397"/>
      <c r="C1" s="397"/>
      <c r="D1" s="397"/>
      <c r="E1" s="397"/>
      <c r="F1" s="397"/>
      <c r="G1" s="397"/>
      <c r="H1" s="397"/>
    </row>
    <row r="2" spans="1:5" ht="15.75" thickBot="1">
      <c r="A2" s="426" t="s">
        <v>528</v>
      </c>
      <c r="B2" s="426"/>
      <c r="C2" s="426"/>
      <c r="D2" s="426"/>
      <c r="E2" s="127"/>
    </row>
    <row r="3" spans="1:5" ht="15">
      <c r="A3" s="424" t="s">
        <v>498</v>
      </c>
      <c r="B3" s="424"/>
      <c r="C3" s="424"/>
      <c r="D3" s="424"/>
      <c r="E3" s="111"/>
    </row>
    <row r="4" spans="1:5" ht="15" customHeight="1">
      <c r="A4" s="114"/>
      <c r="B4" s="358" t="s">
        <v>134</v>
      </c>
      <c r="C4" s="425" t="s">
        <v>421</v>
      </c>
      <c r="D4" s="425"/>
      <c r="E4" s="114"/>
    </row>
    <row r="5" spans="1:5" ht="15.75">
      <c r="A5" s="114"/>
      <c r="B5" s="340"/>
      <c r="C5" s="258" t="s">
        <v>22</v>
      </c>
      <c r="D5" s="258" t="s">
        <v>21</v>
      </c>
      <c r="E5" s="42"/>
    </row>
    <row r="6" spans="1:4" ht="15.75">
      <c r="A6" s="115" t="s">
        <v>134</v>
      </c>
      <c r="B6" s="289">
        <v>12</v>
      </c>
      <c r="C6" s="104">
        <v>3</v>
      </c>
      <c r="D6" s="104">
        <v>9</v>
      </c>
    </row>
    <row r="7" spans="1:4" ht="15" customHeight="1">
      <c r="A7" s="115" t="s">
        <v>363</v>
      </c>
      <c r="B7" s="289">
        <v>10</v>
      </c>
      <c r="C7" s="104">
        <v>1</v>
      </c>
      <c r="D7" s="104">
        <v>9</v>
      </c>
    </row>
    <row r="8" spans="1:4" ht="15">
      <c r="A8" s="111" t="s">
        <v>381</v>
      </c>
      <c r="B8" s="290">
        <v>10</v>
      </c>
      <c r="C8" s="103">
        <v>1</v>
      </c>
      <c r="D8" s="103">
        <v>9</v>
      </c>
    </row>
    <row r="9" spans="1:4" ht="15">
      <c r="A9" s="111" t="s">
        <v>398</v>
      </c>
      <c r="B9" s="290">
        <v>1</v>
      </c>
      <c r="C9" s="103">
        <v>1</v>
      </c>
      <c r="D9" s="103">
        <v>0</v>
      </c>
    </row>
    <row r="10" spans="1:4" ht="15">
      <c r="A10" s="111" t="s">
        <v>402</v>
      </c>
      <c r="B10" s="290">
        <v>9</v>
      </c>
      <c r="C10" s="103">
        <v>0</v>
      </c>
      <c r="D10" s="103">
        <v>9</v>
      </c>
    </row>
    <row r="11" spans="1:4" ht="15" customHeight="1">
      <c r="A11" s="115" t="s">
        <v>509</v>
      </c>
      <c r="B11" s="289">
        <v>1</v>
      </c>
      <c r="C11" s="104">
        <v>1</v>
      </c>
      <c r="D11" s="104">
        <v>0</v>
      </c>
    </row>
    <row r="12" spans="1:5" ht="15" customHeight="1" thickBot="1">
      <c r="A12" s="124" t="s">
        <v>405</v>
      </c>
      <c r="B12" s="291">
        <v>1</v>
      </c>
      <c r="C12" s="105">
        <v>1</v>
      </c>
      <c r="D12" s="105">
        <v>0</v>
      </c>
      <c r="E12" s="42"/>
    </row>
    <row r="13" spans="1:5" ht="15">
      <c r="A13" s="391" t="s">
        <v>635</v>
      </c>
      <c r="B13" s="391"/>
      <c r="C13" s="391"/>
      <c r="D13" s="391"/>
      <c r="E13" s="181"/>
    </row>
  </sheetData>
  <sheetProtection/>
  <mergeCells count="5">
    <mergeCell ref="A3:D3"/>
    <mergeCell ref="C4:D4"/>
    <mergeCell ref="A1:H1"/>
    <mergeCell ref="A2:D2"/>
    <mergeCell ref="A13:D13"/>
  </mergeCells>
  <printOptions/>
  <pageMargins left="0.7" right="0.7" top="0.787401575" bottom="0.7874015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5" zoomScaleNormal="85" zoomScalePageLayoutView="0" workbookViewId="0" topLeftCell="A1">
      <selection activeCell="G34" sqref="G34"/>
    </sheetView>
  </sheetViews>
  <sheetFormatPr defaultColWidth="11.421875" defaultRowHeight="12.75"/>
  <cols>
    <col min="1" max="1" width="19.57421875" style="41" bestFit="1" customWidth="1"/>
    <col min="2" max="2" width="6.7109375" style="41" bestFit="1" customWidth="1"/>
    <col min="3" max="3" width="7.7109375" style="41" bestFit="1" customWidth="1"/>
    <col min="4" max="4" width="9.28125" style="41" bestFit="1" customWidth="1"/>
    <col min="5" max="5" width="8.8515625" style="41" bestFit="1" customWidth="1"/>
    <col min="6" max="6" width="14.140625" style="41" bestFit="1" customWidth="1"/>
    <col min="7" max="7" width="9.28125" style="41" bestFit="1" customWidth="1"/>
    <col min="8" max="8" width="9.00390625" style="41" bestFit="1" customWidth="1"/>
    <col min="9" max="9" width="9.28125" style="41" bestFit="1" customWidth="1"/>
    <col min="10" max="10" width="10.28125" style="41" bestFit="1" customWidth="1"/>
    <col min="11" max="11" width="9.28125" style="41" bestFit="1" customWidth="1"/>
    <col min="12" max="12" width="15.140625" style="41" bestFit="1" customWidth="1"/>
    <col min="13" max="16384" width="11.421875" style="41" customWidth="1"/>
  </cols>
  <sheetData>
    <row r="1" spans="1:12" ht="18" customHeight="1">
      <c r="A1" s="397" t="s">
        <v>425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.75" customHeight="1">
      <c r="A2" s="423" t="s">
        <v>357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ht="15.75" customHeight="1">
      <c r="A3" s="423" t="s">
        <v>528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15.75" customHeight="1" thickBot="1">
      <c r="A4" s="395" t="s">
        <v>499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1:12" ht="15.75" customHeight="1">
      <c r="A5" s="114"/>
      <c r="B5" s="328" t="s">
        <v>134</v>
      </c>
      <c r="C5" s="396" t="s">
        <v>122</v>
      </c>
      <c r="D5" s="396"/>
      <c r="E5" s="396"/>
      <c r="F5" s="396"/>
      <c r="G5" s="396"/>
      <c r="H5" s="396"/>
      <c r="I5" s="396"/>
      <c r="J5" s="396"/>
      <c r="K5" s="396"/>
      <c r="L5" s="359"/>
    </row>
    <row r="6" spans="1:12" ht="15.75" customHeight="1">
      <c r="A6" s="114"/>
      <c r="B6" s="340"/>
      <c r="C6" s="258" t="s">
        <v>123</v>
      </c>
      <c r="D6" s="258" t="s">
        <v>124</v>
      </c>
      <c r="E6" s="258" t="s">
        <v>125</v>
      </c>
      <c r="F6" s="258" t="s">
        <v>126</v>
      </c>
      <c r="G6" s="258" t="s">
        <v>127</v>
      </c>
      <c r="H6" s="258" t="s">
        <v>129</v>
      </c>
      <c r="I6" s="258" t="s">
        <v>130</v>
      </c>
      <c r="J6" s="258" t="s">
        <v>131</v>
      </c>
      <c r="K6" s="258" t="s">
        <v>132</v>
      </c>
      <c r="L6" s="340" t="s">
        <v>133</v>
      </c>
    </row>
    <row r="7" spans="1:12" ht="15.75" customHeight="1">
      <c r="A7" s="115" t="s">
        <v>134</v>
      </c>
      <c r="B7" s="289">
        <v>19</v>
      </c>
      <c r="C7" s="104">
        <v>3</v>
      </c>
      <c r="D7" s="104">
        <v>2</v>
      </c>
      <c r="E7" s="104">
        <v>2</v>
      </c>
      <c r="F7" s="104">
        <v>1</v>
      </c>
      <c r="G7" s="104">
        <v>1</v>
      </c>
      <c r="H7" s="104">
        <v>2</v>
      </c>
      <c r="I7" s="104">
        <v>2</v>
      </c>
      <c r="J7" s="104">
        <v>1</v>
      </c>
      <c r="K7" s="104">
        <v>4</v>
      </c>
      <c r="L7" s="104">
        <v>1</v>
      </c>
    </row>
    <row r="8" spans="1:12" ht="15.75" customHeight="1">
      <c r="A8" s="115" t="s">
        <v>136</v>
      </c>
      <c r="B8" s="289">
        <v>1</v>
      </c>
      <c r="C8" s="104">
        <v>0</v>
      </c>
      <c r="D8" s="104">
        <v>0</v>
      </c>
      <c r="E8" s="104">
        <v>0</v>
      </c>
      <c r="F8" s="104">
        <v>1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spans="1:12" ht="15.75" customHeight="1">
      <c r="A9" s="113" t="s">
        <v>261</v>
      </c>
      <c r="B9" s="289">
        <v>3</v>
      </c>
      <c r="C9" s="104">
        <v>0</v>
      </c>
      <c r="D9" s="104">
        <v>0</v>
      </c>
      <c r="E9" s="104">
        <v>0</v>
      </c>
      <c r="F9" s="104">
        <v>0</v>
      </c>
      <c r="G9" s="104">
        <v>1</v>
      </c>
      <c r="H9" s="104">
        <v>1</v>
      </c>
      <c r="I9" s="104">
        <v>0</v>
      </c>
      <c r="J9" s="104">
        <v>0</v>
      </c>
      <c r="K9" s="104">
        <v>1</v>
      </c>
      <c r="L9" s="104">
        <v>0</v>
      </c>
    </row>
    <row r="10" spans="1:12" ht="15.75" customHeight="1">
      <c r="A10" s="111" t="s">
        <v>148</v>
      </c>
      <c r="B10" s="290">
        <v>3</v>
      </c>
      <c r="C10" s="103">
        <v>0</v>
      </c>
      <c r="D10" s="103">
        <v>0</v>
      </c>
      <c r="E10" s="103">
        <v>0</v>
      </c>
      <c r="F10" s="103">
        <v>0</v>
      </c>
      <c r="G10" s="103">
        <v>1</v>
      </c>
      <c r="H10" s="103">
        <v>1</v>
      </c>
      <c r="I10" s="103">
        <v>0</v>
      </c>
      <c r="J10" s="103">
        <v>0</v>
      </c>
      <c r="K10" s="103">
        <v>1</v>
      </c>
      <c r="L10" s="103">
        <v>0</v>
      </c>
    </row>
    <row r="11" spans="1:12" ht="15.75" customHeight="1">
      <c r="A11" s="115" t="s">
        <v>276</v>
      </c>
      <c r="B11" s="289">
        <v>1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1</v>
      </c>
      <c r="K11" s="104">
        <v>0</v>
      </c>
      <c r="L11" s="104">
        <v>0</v>
      </c>
    </row>
    <row r="12" spans="1:12" ht="15.75" customHeight="1">
      <c r="A12" s="111" t="s">
        <v>192</v>
      </c>
      <c r="B12" s="290">
        <v>1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1</v>
      </c>
      <c r="K12" s="103">
        <v>0</v>
      </c>
      <c r="L12" s="103">
        <v>0</v>
      </c>
    </row>
    <row r="13" spans="1:12" ht="15.75" customHeight="1">
      <c r="A13" s="115" t="s">
        <v>278</v>
      </c>
      <c r="B13" s="289">
        <v>13</v>
      </c>
      <c r="C13" s="104">
        <v>2</v>
      </c>
      <c r="D13" s="104">
        <v>2</v>
      </c>
      <c r="E13" s="104">
        <v>2</v>
      </c>
      <c r="F13" s="104">
        <v>0</v>
      </c>
      <c r="G13" s="104">
        <v>0</v>
      </c>
      <c r="H13" s="104">
        <v>1</v>
      </c>
      <c r="I13" s="104">
        <v>2</v>
      </c>
      <c r="J13" s="104">
        <v>0</v>
      </c>
      <c r="K13" s="104">
        <v>3</v>
      </c>
      <c r="L13" s="104">
        <v>1</v>
      </c>
    </row>
    <row r="14" spans="1:12" ht="15.75" customHeight="1">
      <c r="A14" s="111" t="s">
        <v>172</v>
      </c>
      <c r="B14" s="290">
        <v>12</v>
      </c>
      <c r="C14" s="103">
        <v>1</v>
      </c>
      <c r="D14" s="103">
        <v>2</v>
      </c>
      <c r="E14" s="103">
        <v>2</v>
      </c>
      <c r="F14" s="103">
        <v>0</v>
      </c>
      <c r="G14" s="103">
        <v>0</v>
      </c>
      <c r="H14" s="103">
        <v>1</v>
      </c>
      <c r="I14" s="103">
        <v>2</v>
      </c>
      <c r="J14" s="103">
        <v>0</v>
      </c>
      <c r="K14" s="103">
        <v>3</v>
      </c>
      <c r="L14" s="103">
        <v>1</v>
      </c>
    </row>
    <row r="15" spans="1:12" ht="15.75" customHeight="1">
      <c r="A15" s="123" t="s">
        <v>194</v>
      </c>
      <c r="B15" s="290">
        <v>1</v>
      </c>
      <c r="C15" s="103">
        <v>1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</row>
    <row r="16" spans="1:12" ht="15.75" customHeight="1">
      <c r="A16" s="113" t="s">
        <v>280</v>
      </c>
      <c r="B16" s="289">
        <v>1</v>
      </c>
      <c r="C16" s="104">
        <v>1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spans="1:13" ht="15.75" customHeight="1" thickBot="1">
      <c r="A17" s="122" t="s">
        <v>171</v>
      </c>
      <c r="B17" s="292">
        <v>1</v>
      </c>
      <c r="C17" s="109">
        <v>1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42"/>
    </row>
    <row r="18" spans="1:13" ht="15">
      <c r="A18" s="391" t="s">
        <v>635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81"/>
    </row>
  </sheetData>
  <sheetProtection/>
  <mergeCells count="6">
    <mergeCell ref="C5:K5"/>
    <mergeCell ref="A4:L4"/>
    <mergeCell ref="A1:L1"/>
    <mergeCell ref="A2:L2"/>
    <mergeCell ref="A3:L3"/>
    <mergeCell ref="A18:L18"/>
  </mergeCells>
  <printOptions/>
  <pageMargins left="0.7" right="0.7" top="0.787401575" bottom="0.7874015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="85" zoomScaleNormal="85" zoomScalePageLayoutView="0" workbookViewId="0" topLeftCell="A1">
      <selection activeCell="G26" sqref="G26"/>
    </sheetView>
  </sheetViews>
  <sheetFormatPr defaultColWidth="11.421875" defaultRowHeight="12.75"/>
  <cols>
    <col min="1" max="1" width="54.28125" style="110" bestFit="1" customWidth="1"/>
    <col min="2" max="2" width="6.8515625" style="110" bestFit="1" customWidth="1"/>
    <col min="3" max="3" width="8.8515625" style="110" bestFit="1" customWidth="1"/>
    <col min="4" max="4" width="9.28125" style="110" bestFit="1" customWidth="1"/>
    <col min="5" max="16384" width="11.421875" style="110" customWidth="1"/>
  </cols>
  <sheetData>
    <row r="1" spans="1:8" ht="18" customHeight="1">
      <c r="A1" s="397" t="s">
        <v>514</v>
      </c>
      <c r="B1" s="397"/>
      <c r="C1" s="397"/>
      <c r="D1" s="397"/>
      <c r="E1" s="397"/>
      <c r="F1" s="397"/>
      <c r="G1" s="397"/>
      <c r="H1" s="397"/>
    </row>
    <row r="2" spans="1:6" ht="15.75" customHeight="1">
      <c r="A2" s="423" t="s">
        <v>357</v>
      </c>
      <c r="B2" s="423"/>
      <c r="C2" s="423"/>
      <c r="D2" s="423"/>
      <c r="E2" s="423"/>
      <c r="F2" s="69"/>
    </row>
    <row r="3" spans="1:6" ht="15.75" customHeight="1">
      <c r="A3" s="423" t="s">
        <v>528</v>
      </c>
      <c r="B3" s="423"/>
      <c r="C3" s="423"/>
      <c r="D3" s="423"/>
      <c r="E3" s="423"/>
      <c r="F3" s="69"/>
    </row>
    <row r="4" spans="1:6" ht="15.75" customHeight="1" thickBot="1">
      <c r="A4" s="427" t="s">
        <v>500</v>
      </c>
      <c r="B4" s="427"/>
      <c r="C4" s="427"/>
      <c r="D4" s="427"/>
      <c r="E4" s="111"/>
      <c r="F4" s="126"/>
    </row>
    <row r="5" spans="1:4" ht="15.75" customHeight="1">
      <c r="A5" s="112"/>
      <c r="B5" s="360" t="s">
        <v>134</v>
      </c>
      <c r="C5" s="428" t="s">
        <v>421</v>
      </c>
      <c r="D5" s="428"/>
    </row>
    <row r="6" spans="1:4" ht="15.75" customHeight="1">
      <c r="A6" s="114"/>
      <c r="B6" s="65"/>
      <c r="C6" s="356" t="s">
        <v>22</v>
      </c>
      <c r="D6" s="356" t="s">
        <v>21</v>
      </c>
    </row>
    <row r="7" spans="1:4" ht="15.75" customHeight="1">
      <c r="A7" s="115" t="s">
        <v>134</v>
      </c>
      <c r="B7" s="289">
        <v>19</v>
      </c>
      <c r="C7" s="104">
        <v>7</v>
      </c>
      <c r="D7" s="104">
        <v>12</v>
      </c>
    </row>
    <row r="8" spans="1:4" ht="15.75" customHeight="1">
      <c r="A8" s="115" t="s">
        <v>363</v>
      </c>
      <c r="B8" s="289">
        <v>19</v>
      </c>
      <c r="C8" s="104">
        <v>7</v>
      </c>
      <c r="D8" s="104">
        <v>12</v>
      </c>
    </row>
    <row r="9" spans="1:4" ht="15.75" customHeight="1">
      <c r="A9" s="111" t="s">
        <v>364</v>
      </c>
      <c r="B9" s="290">
        <v>13</v>
      </c>
      <c r="C9" s="103">
        <v>5</v>
      </c>
      <c r="D9" s="103">
        <v>8</v>
      </c>
    </row>
    <row r="10" spans="1:4" ht="15.75" customHeight="1">
      <c r="A10" s="111" t="s">
        <v>365</v>
      </c>
      <c r="B10" s="290">
        <v>13</v>
      </c>
      <c r="C10" s="103">
        <v>5</v>
      </c>
      <c r="D10" s="103">
        <v>8</v>
      </c>
    </row>
    <row r="11" spans="1:4" ht="15.75" customHeight="1">
      <c r="A11" s="111" t="s">
        <v>366</v>
      </c>
      <c r="B11" s="290">
        <v>3</v>
      </c>
      <c r="C11" s="103">
        <v>0</v>
      </c>
      <c r="D11" s="103">
        <v>3</v>
      </c>
    </row>
    <row r="12" spans="1:4" ht="15.75" customHeight="1">
      <c r="A12" s="111" t="s">
        <v>372</v>
      </c>
      <c r="B12" s="290">
        <v>1</v>
      </c>
      <c r="C12" s="103">
        <v>0</v>
      </c>
      <c r="D12" s="103">
        <v>1</v>
      </c>
    </row>
    <row r="13" spans="1:4" ht="15.75" customHeight="1">
      <c r="A13" s="111" t="s">
        <v>377</v>
      </c>
      <c r="B13" s="290">
        <v>1</v>
      </c>
      <c r="C13" s="103">
        <v>0</v>
      </c>
      <c r="D13" s="103">
        <v>1</v>
      </c>
    </row>
    <row r="14" spans="1:4" ht="15.75" customHeight="1">
      <c r="A14" s="111" t="s">
        <v>380</v>
      </c>
      <c r="B14" s="290">
        <v>1</v>
      </c>
      <c r="C14" s="103">
        <v>0</v>
      </c>
      <c r="D14" s="103">
        <v>1</v>
      </c>
    </row>
    <row r="15" spans="1:4" ht="15.75" customHeight="1">
      <c r="A15" s="111" t="s">
        <v>381</v>
      </c>
      <c r="B15" s="290">
        <v>3</v>
      </c>
      <c r="C15" s="103">
        <v>2</v>
      </c>
      <c r="D15" s="103">
        <v>1</v>
      </c>
    </row>
    <row r="16" spans="1:4" ht="15.75" customHeight="1">
      <c r="A16" s="111" t="s">
        <v>383</v>
      </c>
      <c r="B16" s="290">
        <v>1</v>
      </c>
      <c r="C16" s="103">
        <v>0</v>
      </c>
      <c r="D16" s="103">
        <v>1</v>
      </c>
    </row>
    <row r="17" spans="1:4" ht="15.75" customHeight="1">
      <c r="A17" s="111" t="s">
        <v>387</v>
      </c>
      <c r="B17" s="290">
        <v>1</v>
      </c>
      <c r="C17" s="103">
        <v>1</v>
      </c>
      <c r="D17" s="103">
        <v>0</v>
      </c>
    </row>
    <row r="18" spans="1:12" ht="15.75" customHeight="1" thickBot="1">
      <c r="A18" s="122" t="s">
        <v>390</v>
      </c>
      <c r="B18" s="292">
        <v>1</v>
      </c>
      <c r="C18" s="109">
        <v>1</v>
      </c>
      <c r="D18" s="109">
        <v>0</v>
      </c>
      <c r="E18" s="25"/>
      <c r="F18" s="25"/>
      <c r="G18" s="25"/>
      <c r="H18" s="25"/>
      <c r="I18" s="25"/>
      <c r="J18" s="25"/>
      <c r="K18" s="25"/>
      <c r="L18" s="25"/>
    </row>
    <row r="19" spans="1:12" ht="15.75" customHeight="1">
      <c r="A19" s="391" t="s">
        <v>635</v>
      </c>
      <c r="B19" s="391"/>
      <c r="C19" s="391"/>
      <c r="D19" s="391"/>
      <c r="E19" s="181"/>
      <c r="F19" s="181"/>
      <c r="G19" s="181"/>
      <c r="H19" s="181"/>
      <c r="I19" s="181"/>
      <c r="J19" s="181"/>
      <c r="K19" s="181"/>
      <c r="L19" s="181"/>
    </row>
  </sheetData>
  <sheetProtection/>
  <mergeCells count="6">
    <mergeCell ref="A2:E2"/>
    <mergeCell ref="A3:E3"/>
    <mergeCell ref="A4:D4"/>
    <mergeCell ref="C5:D5"/>
    <mergeCell ref="A1:H1"/>
    <mergeCell ref="A19:D19"/>
  </mergeCells>
  <printOptions/>
  <pageMargins left="0.7" right="0.7" top="0.787401575" bottom="0.7874015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="85" zoomScaleNormal="85" zoomScalePageLayoutView="0" workbookViewId="0" topLeftCell="A1">
      <selection activeCell="D24" sqref="D24"/>
    </sheetView>
  </sheetViews>
  <sheetFormatPr defaultColWidth="11.421875" defaultRowHeight="12.75"/>
  <cols>
    <col min="1" max="1" width="54.421875" style="110" bestFit="1" customWidth="1"/>
    <col min="2" max="2" width="6.7109375" style="110" bestFit="1" customWidth="1"/>
    <col min="3" max="3" width="8.8515625" style="110" bestFit="1" customWidth="1"/>
    <col min="4" max="4" width="9.28125" style="110" bestFit="1" customWidth="1"/>
    <col min="5" max="16384" width="11.421875" style="110" customWidth="1"/>
  </cols>
  <sheetData>
    <row r="1" spans="1:8" s="125" customFormat="1" ht="18">
      <c r="A1" s="397" t="s">
        <v>515</v>
      </c>
      <c r="B1" s="397"/>
      <c r="C1" s="397"/>
      <c r="D1" s="397"/>
      <c r="E1" s="397"/>
      <c r="F1" s="397"/>
      <c r="G1" s="397"/>
      <c r="H1" s="397"/>
    </row>
    <row r="2" spans="1:5" ht="15.75" customHeight="1">
      <c r="A2" s="423" t="s">
        <v>357</v>
      </c>
      <c r="B2" s="423"/>
      <c r="C2" s="423"/>
      <c r="D2" s="423"/>
      <c r="E2" s="423"/>
    </row>
    <row r="3" spans="1:5" ht="15.75" customHeight="1">
      <c r="A3" s="423" t="s">
        <v>528</v>
      </c>
      <c r="B3" s="423"/>
      <c r="C3" s="423"/>
      <c r="D3" s="423"/>
      <c r="E3" s="423"/>
    </row>
    <row r="4" spans="1:5" ht="15.75" customHeight="1" thickBot="1">
      <c r="A4" s="395" t="s">
        <v>501</v>
      </c>
      <c r="B4" s="395"/>
      <c r="C4" s="395"/>
      <c r="D4" s="395"/>
      <c r="E4" s="111"/>
    </row>
    <row r="5" spans="1:4" ht="15.75" customHeight="1">
      <c r="A5" s="114"/>
      <c r="B5" s="328" t="s">
        <v>134</v>
      </c>
      <c r="C5" s="396" t="s">
        <v>421</v>
      </c>
      <c r="D5" s="396"/>
    </row>
    <row r="6" spans="1:4" ht="15.75" customHeight="1">
      <c r="A6" s="114"/>
      <c r="B6" s="65"/>
      <c r="C6" s="258" t="s">
        <v>22</v>
      </c>
      <c r="D6" s="258" t="s">
        <v>21</v>
      </c>
    </row>
    <row r="7" spans="1:4" ht="15.75" customHeight="1">
      <c r="A7" s="115" t="s">
        <v>134</v>
      </c>
      <c r="B7" s="261">
        <v>21</v>
      </c>
      <c r="C7" s="98">
        <v>7</v>
      </c>
      <c r="D7" s="98">
        <v>14</v>
      </c>
    </row>
    <row r="8" spans="1:4" ht="15.75" customHeight="1">
      <c r="A8" s="115" t="s">
        <v>363</v>
      </c>
      <c r="B8" s="261">
        <v>7</v>
      </c>
      <c r="C8" s="98">
        <v>0</v>
      </c>
      <c r="D8" s="98">
        <v>7</v>
      </c>
    </row>
    <row r="9" spans="1:4" ht="15.75" customHeight="1">
      <c r="A9" s="111" t="s">
        <v>366</v>
      </c>
      <c r="B9" s="262">
        <v>2</v>
      </c>
      <c r="C9" s="68">
        <v>0</v>
      </c>
      <c r="D9" s="68">
        <v>2</v>
      </c>
    </row>
    <row r="10" spans="1:4" ht="15.75" customHeight="1">
      <c r="A10" s="111" t="s">
        <v>368</v>
      </c>
      <c r="B10" s="262">
        <v>1</v>
      </c>
      <c r="C10" s="68">
        <v>0</v>
      </c>
      <c r="D10" s="68">
        <v>1</v>
      </c>
    </row>
    <row r="11" spans="1:4" ht="15.75" customHeight="1">
      <c r="A11" s="111" t="s">
        <v>380</v>
      </c>
      <c r="B11" s="262">
        <v>1</v>
      </c>
      <c r="C11" s="68">
        <v>0</v>
      </c>
      <c r="D11" s="68">
        <v>1</v>
      </c>
    </row>
    <row r="12" spans="1:4" ht="15.75" customHeight="1">
      <c r="A12" s="111" t="s">
        <v>381</v>
      </c>
      <c r="B12" s="262">
        <v>5</v>
      </c>
      <c r="C12" s="68">
        <v>0</v>
      </c>
      <c r="D12" s="68">
        <v>5</v>
      </c>
    </row>
    <row r="13" spans="1:4" ht="15.75" customHeight="1">
      <c r="A13" s="111" t="s">
        <v>382</v>
      </c>
      <c r="B13" s="262">
        <v>1</v>
      </c>
      <c r="C13" s="68">
        <v>0</v>
      </c>
      <c r="D13" s="68">
        <v>1</v>
      </c>
    </row>
    <row r="14" spans="1:4" ht="15.75" customHeight="1">
      <c r="A14" s="123" t="s">
        <v>384</v>
      </c>
      <c r="B14" s="262">
        <v>1</v>
      </c>
      <c r="C14" s="68">
        <v>0</v>
      </c>
      <c r="D14" s="68">
        <v>1</v>
      </c>
    </row>
    <row r="15" spans="1:4" ht="15.75" customHeight="1">
      <c r="A15" s="123" t="s">
        <v>391</v>
      </c>
      <c r="B15" s="262">
        <v>1</v>
      </c>
      <c r="C15" s="68">
        <v>0</v>
      </c>
      <c r="D15" s="68">
        <v>1</v>
      </c>
    </row>
    <row r="16" spans="1:4" ht="15.75" customHeight="1">
      <c r="A16" s="123" t="s">
        <v>394</v>
      </c>
      <c r="B16" s="262">
        <v>2</v>
      </c>
      <c r="C16" s="68">
        <v>0</v>
      </c>
      <c r="D16" s="68">
        <v>2</v>
      </c>
    </row>
    <row r="17" spans="1:4" ht="15.75" customHeight="1">
      <c r="A17" s="115" t="s">
        <v>404</v>
      </c>
      <c r="B17" s="261">
        <v>8</v>
      </c>
      <c r="C17" s="98">
        <v>6</v>
      </c>
      <c r="D17" s="98">
        <v>2</v>
      </c>
    </row>
    <row r="18" spans="1:4" ht="15.75" customHeight="1" thickBot="1">
      <c r="A18" s="124" t="s">
        <v>405</v>
      </c>
      <c r="B18" s="266">
        <v>6</v>
      </c>
      <c r="C18" s="99">
        <v>1</v>
      </c>
      <c r="D18" s="99">
        <v>5</v>
      </c>
    </row>
    <row r="19" spans="1:4" ht="15">
      <c r="A19" s="391" t="s">
        <v>635</v>
      </c>
      <c r="B19" s="391"/>
      <c r="C19" s="391"/>
      <c r="D19" s="391"/>
    </row>
  </sheetData>
  <sheetProtection/>
  <mergeCells count="6">
    <mergeCell ref="A2:E2"/>
    <mergeCell ref="A3:E3"/>
    <mergeCell ref="A4:D4"/>
    <mergeCell ref="C5:D5"/>
    <mergeCell ref="A1:H1"/>
    <mergeCell ref="A19:D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="85" zoomScaleNormal="85" zoomScalePageLayoutView="0" workbookViewId="0" topLeftCell="A1">
      <selection activeCell="F8" sqref="F8"/>
    </sheetView>
  </sheetViews>
  <sheetFormatPr defaultColWidth="11.421875" defaultRowHeight="12.75"/>
  <cols>
    <col min="1" max="1" width="54.421875" style="41" bestFit="1" customWidth="1"/>
    <col min="2" max="2" width="6.7109375" style="41" bestFit="1" customWidth="1"/>
    <col min="3" max="3" width="7.421875" style="41" bestFit="1" customWidth="1"/>
    <col min="4" max="4" width="16.57421875" style="41" customWidth="1"/>
    <col min="5" max="16384" width="11.421875" style="41" customWidth="1"/>
  </cols>
  <sheetData>
    <row r="1" spans="1:8" ht="18">
      <c r="A1" s="397" t="s">
        <v>426</v>
      </c>
      <c r="B1" s="397"/>
      <c r="C1" s="397"/>
      <c r="D1" s="397"/>
      <c r="E1" s="397"/>
      <c r="F1" s="397"/>
      <c r="G1" s="397"/>
      <c r="H1" s="397"/>
    </row>
    <row r="2" spans="1:6" ht="15.75" customHeight="1">
      <c r="A2" s="423" t="s">
        <v>357</v>
      </c>
      <c r="B2" s="423"/>
      <c r="C2" s="423"/>
      <c r="D2" s="423"/>
      <c r="E2" s="423"/>
      <c r="F2" s="423"/>
    </row>
    <row r="3" spans="1:6" ht="15.75" customHeight="1">
      <c r="A3" s="423" t="s">
        <v>528</v>
      </c>
      <c r="B3" s="423"/>
      <c r="C3" s="423"/>
      <c r="D3" s="423"/>
      <c r="E3" s="423"/>
      <c r="F3" s="423"/>
    </row>
    <row r="4" spans="1:6" ht="15.75" customHeight="1" thickBot="1">
      <c r="A4" s="395" t="s">
        <v>502</v>
      </c>
      <c r="B4" s="395"/>
      <c r="C4" s="395"/>
      <c r="D4" s="395"/>
      <c r="E4" s="111"/>
      <c r="F4" s="111"/>
    </row>
    <row r="5" spans="1:4" ht="15.75" customHeight="1">
      <c r="A5" s="114"/>
      <c r="B5" s="328" t="s">
        <v>134</v>
      </c>
      <c r="C5" s="396" t="s">
        <v>427</v>
      </c>
      <c r="D5" s="396"/>
    </row>
    <row r="6" spans="1:4" ht="15.75" customHeight="1">
      <c r="A6" s="114"/>
      <c r="B6" s="340"/>
      <c r="C6" s="356" t="s">
        <v>281</v>
      </c>
      <c r="D6" s="356" t="s">
        <v>166</v>
      </c>
    </row>
    <row r="7" spans="1:4" ht="15.75" customHeight="1">
      <c r="A7" s="115" t="s">
        <v>134</v>
      </c>
      <c r="B7" s="270">
        <v>21</v>
      </c>
      <c r="C7" s="68">
        <v>6</v>
      </c>
      <c r="D7" s="68">
        <v>15</v>
      </c>
    </row>
    <row r="8" spans="1:4" ht="15.75" customHeight="1">
      <c r="A8" s="115" t="s">
        <v>363</v>
      </c>
      <c r="B8" s="270">
        <v>7</v>
      </c>
      <c r="C8" s="68">
        <v>3</v>
      </c>
      <c r="D8" s="68">
        <v>4</v>
      </c>
    </row>
    <row r="9" spans="1:4" ht="15.75" customHeight="1">
      <c r="A9" s="111" t="s">
        <v>366</v>
      </c>
      <c r="B9" s="270">
        <v>2</v>
      </c>
      <c r="C9" s="68">
        <v>0</v>
      </c>
      <c r="D9" s="68">
        <v>2</v>
      </c>
    </row>
    <row r="10" spans="1:4" ht="15.75" customHeight="1">
      <c r="A10" s="111" t="s">
        <v>368</v>
      </c>
      <c r="B10" s="270">
        <v>1</v>
      </c>
      <c r="C10" s="68">
        <v>0</v>
      </c>
      <c r="D10" s="68">
        <v>1</v>
      </c>
    </row>
    <row r="11" spans="1:4" ht="15.75" customHeight="1">
      <c r="A11" s="111" t="s">
        <v>380</v>
      </c>
      <c r="B11" s="270">
        <v>1</v>
      </c>
      <c r="C11" s="68">
        <v>0</v>
      </c>
      <c r="D11" s="68">
        <v>1</v>
      </c>
    </row>
    <row r="12" spans="1:4" ht="15.75" customHeight="1">
      <c r="A12" s="111" t="s">
        <v>381</v>
      </c>
      <c r="B12" s="270">
        <v>5</v>
      </c>
      <c r="C12" s="68">
        <v>3</v>
      </c>
      <c r="D12" s="68">
        <v>2</v>
      </c>
    </row>
    <row r="13" spans="1:4" ht="15.75" customHeight="1">
      <c r="A13" s="111" t="s">
        <v>382</v>
      </c>
      <c r="B13" s="270">
        <v>1</v>
      </c>
      <c r="C13" s="68">
        <v>1</v>
      </c>
      <c r="D13" s="68">
        <v>0</v>
      </c>
    </row>
    <row r="14" spans="1:4" ht="15.75" customHeight="1">
      <c r="A14" s="123" t="s">
        <v>384</v>
      </c>
      <c r="B14" s="270">
        <v>1</v>
      </c>
      <c r="C14" s="68">
        <v>1</v>
      </c>
      <c r="D14" s="68">
        <v>0</v>
      </c>
    </row>
    <row r="15" spans="1:4" ht="15.75" customHeight="1">
      <c r="A15" s="123" t="s">
        <v>391</v>
      </c>
      <c r="B15" s="270">
        <v>1</v>
      </c>
      <c r="C15" s="68">
        <v>1</v>
      </c>
      <c r="D15" s="68">
        <v>0</v>
      </c>
    </row>
    <row r="16" spans="1:4" ht="15.75" customHeight="1">
      <c r="A16" s="123" t="s">
        <v>394</v>
      </c>
      <c r="B16" s="270">
        <v>2</v>
      </c>
      <c r="C16" s="68">
        <v>0</v>
      </c>
      <c r="D16" s="68">
        <v>2</v>
      </c>
    </row>
    <row r="17" spans="1:4" ht="15.75" customHeight="1">
      <c r="A17" s="115" t="s">
        <v>404</v>
      </c>
      <c r="B17" s="269">
        <v>8</v>
      </c>
      <c r="C17" s="98">
        <v>3</v>
      </c>
      <c r="D17" s="98">
        <v>5</v>
      </c>
    </row>
    <row r="18" spans="1:4" ht="15.75" customHeight="1" thickBot="1">
      <c r="A18" s="124" t="s">
        <v>405</v>
      </c>
      <c r="B18" s="271">
        <v>6</v>
      </c>
      <c r="C18" s="99">
        <v>0</v>
      </c>
      <c r="D18" s="99">
        <v>6</v>
      </c>
    </row>
    <row r="19" spans="1:4" ht="15">
      <c r="A19" s="391" t="s">
        <v>635</v>
      </c>
      <c r="B19" s="391"/>
      <c r="C19" s="391"/>
      <c r="D19" s="391"/>
    </row>
  </sheetData>
  <sheetProtection/>
  <mergeCells count="6">
    <mergeCell ref="A2:F2"/>
    <mergeCell ref="A3:F3"/>
    <mergeCell ref="A4:D4"/>
    <mergeCell ref="C5:D5"/>
    <mergeCell ref="A1:H1"/>
    <mergeCell ref="A19:D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="85" zoomScaleNormal="85" zoomScalePageLayoutView="0" workbookViewId="0" topLeftCell="A1">
      <selection activeCell="G41" sqref="G41"/>
    </sheetView>
  </sheetViews>
  <sheetFormatPr defaultColWidth="11.421875" defaultRowHeight="12.75"/>
  <cols>
    <col min="1" max="1" width="30.28125" style="25" customWidth="1"/>
    <col min="2" max="2" width="6.7109375" style="25" bestFit="1" customWidth="1"/>
    <col min="3" max="3" width="7.57421875" style="25" bestFit="1" customWidth="1"/>
    <col min="4" max="4" width="9.28125" style="25" bestFit="1" customWidth="1"/>
    <col min="5" max="5" width="8.7109375" style="25" bestFit="1" customWidth="1"/>
    <col min="6" max="6" width="14.140625" style="25" bestFit="1" customWidth="1"/>
    <col min="7" max="7" width="8.8515625" style="25" bestFit="1" customWidth="1"/>
    <col min="8" max="8" width="8.7109375" style="25" bestFit="1" customWidth="1"/>
    <col min="9" max="9" width="9.28125" style="25" bestFit="1" customWidth="1"/>
    <col min="10" max="10" width="9.8515625" style="25" bestFit="1" customWidth="1"/>
    <col min="11" max="11" width="8.7109375" style="25" bestFit="1" customWidth="1"/>
    <col min="12" max="12" width="15.140625" style="25" bestFit="1" customWidth="1"/>
    <col min="13" max="16384" width="11.421875" style="25" customWidth="1"/>
  </cols>
  <sheetData>
    <row r="1" spans="1:12" ht="18.75" customHeight="1">
      <c r="A1" s="429" t="s">
        <v>428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5.75" customHeight="1">
      <c r="A2" s="430" t="s">
        <v>429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1:12" ht="15.75" customHeight="1">
      <c r="A3" s="430" t="s">
        <v>528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2" ht="15.75" customHeight="1" thickBot="1">
      <c r="A4" s="395" t="s">
        <v>459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ht="15.75" customHeight="1">
      <c r="A5" s="116"/>
      <c r="B5" s="361" t="s">
        <v>134</v>
      </c>
      <c r="C5" s="432" t="s">
        <v>122</v>
      </c>
      <c r="D5" s="432"/>
      <c r="E5" s="432"/>
      <c r="F5" s="432"/>
      <c r="G5" s="432"/>
      <c r="H5" s="432"/>
      <c r="I5" s="432"/>
      <c r="J5" s="432"/>
      <c r="K5" s="432"/>
      <c r="L5" s="432"/>
    </row>
    <row r="6" spans="1:12" ht="15.75" customHeight="1">
      <c r="A6" s="116"/>
      <c r="B6" s="65"/>
      <c r="C6" s="362" t="s">
        <v>123</v>
      </c>
      <c r="D6" s="362" t="s">
        <v>124</v>
      </c>
      <c r="E6" s="362" t="s">
        <v>125</v>
      </c>
      <c r="F6" s="362" t="s">
        <v>126</v>
      </c>
      <c r="G6" s="362" t="s">
        <v>127</v>
      </c>
      <c r="H6" s="362" t="s">
        <v>129</v>
      </c>
      <c r="I6" s="362" t="s">
        <v>130</v>
      </c>
      <c r="J6" s="362" t="s">
        <v>131</v>
      </c>
      <c r="K6" s="362" t="s">
        <v>132</v>
      </c>
      <c r="L6" s="362" t="s">
        <v>133</v>
      </c>
    </row>
    <row r="7" spans="1:13" ht="15.75" customHeight="1">
      <c r="A7" s="116" t="s">
        <v>134</v>
      </c>
      <c r="B7" s="293">
        <v>415</v>
      </c>
      <c r="C7" s="118">
        <v>190</v>
      </c>
      <c r="D7" s="118">
        <v>47</v>
      </c>
      <c r="E7" s="118">
        <v>21</v>
      </c>
      <c r="F7" s="118">
        <v>31</v>
      </c>
      <c r="G7" s="118">
        <v>46</v>
      </c>
      <c r="H7" s="118">
        <v>21</v>
      </c>
      <c r="I7" s="118">
        <v>22</v>
      </c>
      <c r="J7" s="118">
        <v>12</v>
      </c>
      <c r="K7" s="118">
        <v>20</v>
      </c>
      <c r="L7" s="118">
        <v>5</v>
      </c>
      <c r="M7" s="118"/>
    </row>
    <row r="8" spans="1:12" ht="15.75" customHeight="1">
      <c r="A8" s="116" t="s">
        <v>137</v>
      </c>
      <c r="B8" s="293">
        <v>379</v>
      </c>
      <c r="C8" s="118">
        <v>155</v>
      </c>
      <c r="D8" s="118">
        <v>47</v>
      </c>
      <c r="E8" s="118">
        <v>21</v>
      </c>
      <c r="F8" s="118">
        <v>31</v>
      </c>
      <c r="G8" s="118">
        <v>45</v>
      </c>
      <c r="H8" s="118">
        <v>21</v>
      </c>
      <c r="I8" s="118">
        <v>22</v>
      </c>
      <c r="J8" s="118">
        <v>12</v>
      </c>
      <c r="K8" s="118">
        <v>20</v>
      </c>
      <c r="L8" s="118">
        <v>5</v>
      </c>
    </row>
    <row r="9" spans="1:12" ht="15.75" customHeight="1">
      <c r="A9" s="117" t="s">
        <v>136</v>
      </c>
      <c r="B9" s="294">
        <v>18</v>
      </c>
      <c r="C9" s="119">
        <v>8</v>
      </c>
      <c r="D9" s="119">
        <v>2</v>
      </c>
      <c r="E9" s="119">
        <v>2</v>
      </c>
      <c r="F9" s="119">
        <v>0</v>
      </c>
      <c r="G9" s="119">
        <v>2</v>
      </c>
      <c r="H9" s="119">
        <v>0</v>
      </c>
      <c r="I9" s="119">
        <v>1</v>
      </c>
      <c r="J9" s="119">
        <v>0</v>
      </c>
      <c r="K9" s="119">
        <v>3</v>
      </c>
      <c r="L9" s="119">
        <v>0</v>
      </c>
    </row>
    <row r="10" spans="1:12" ht="15.75" customHeight="1">
      <c r="A10" s="117" t="s">
        <v>22</v>
      </c>
      <c r="B10" s="294">
        <v>7</v>
      </c>
      <c r="C10" s="119">
        <v>4</v>
      </c>
      <c r="D10" s="119">
        <v>0</v>
      </c>
      <c r="E10" s="119">
        <v>1</v>
      </c>
      <c r="F10" s="119">
        <v>0</v>
      </c>
      <c r="G10" s="119">
        <v>0</v>
      </c>
      <c r="H10" s="119">
        <v>0</v>
      </c>
      <c r="I10" s="119">
        <v>1</v>
      </c>
      <c r="J10" s="119">
        <v>0</v>
      </c>
      <c r="K10" s="119">
        <v>1</v>
      </c>
      <c r="L10" s="119">
        <v>0</v>
      </c>
    </row>
    <row r="11" spans="1:12" ht="15.75" customHeight="1">
      <c r="A11" s="117" t="s">
        <v>21</v>
      </c>
      <c r="B11" s="294">
        <v>11</v>
      </c>
      <c r="C11" s="119">
        <v>4</v>
      </c>
      <c r="D11" s="119">
        <v>2</v>
      </c>
      <c r="E11" s="119">
        <v>1</v>
      </c>
      <c r="F11" s="119">
        <v>0</v>
      </c>
      <c r="G11" s="119">
        <v>2</v>
      </c>
      <c r="H11" s="119">
        <v>0</v>
      </c>
      <c r="I11" s="119">
        <v>0</v>
      </c>
      <c r="J11" s="119">
        <v>0</v>
      </c>
      <c r="K11" s="119">
        <v>2</v>
      </c>
      <c r="L11" s="119">
        <v>0</v>
      </c>
    </row>
    <row r="12" spans="1:12" ht="15.75" customHeight="1">
      <c r="A12" s="117" t="s">
        <v>261</v>
      </c>
      <c r="B12" s="294">
        <v>229</v>
      </c>
      <c r="C12" s="119">
        <v>90</v>
      </c>
      <c r="D12" s="119">
        <v>27</v>
      </c>
      <c r="E12" s="119">
        <v>14</v>
      </c>
      <c r="F12" s="119">
        <v>27</v>
      </c>
      <c r="G12" s="119">
        <v>26</v>
      </c>
      <c r="H12" s="119">
        <v>13</v>
      </c>
      <c r="I12" s="119">
        <v>15</v>
      </c>
      <c r="J12" s="119">
        <v>7</v>
      </c>
      <c r="K12" s="119">
        <v>6</v>
      </c>
      <c r="L12" s="119">
        <v>4</v>
      </c>
    </row>
    <row r="13" spans="1:12" ht="15.75" customHeight="1">
      <c r="A13" s="117" t="s">
        <v>22</v>
      </c>
      <c r="B13" s="294">
        <v>101</v>
      </c>
      <c r="C13" s="119">
        <v>35</v>
      </c>
      <c r="D13" s="119">
        <v>11</v>
      </c>
      <c r="E13" s="119">
        <v>12</v>
      </c>
      <c r="F13" s="119">
        <v>13</v>
      </c>
      <c r="G13" s="119">
        <v>6</v>
      </c>
      <c r="H13" s="119">
        <v>6</v>
      </c>
      <c r="I13" s="119">
        <v>7</v>
      </c>
      <c r="J13" s="119">
        <v>4</v>
      </c>
      <c r="K13" s="119">
        <v>3</v>
      </c>
      <c r="L13" s="119">
        <v>4</v>
      </c>
    </row>
    <row r="14" spans="1:12" ht="15.75" customHeight="1">
      <c r="A14" s="117" t="s">
        <v>21</v>
      </c>
      <c r="B14" s="294">
        <v>128</v>
      </c>
      <c r="C14" s="119">
        <v>55</v>
      </c>
      <c r="D14" s="119">
        <v>16</v>
      </c>
      <c r="E14" s="119">
        <v>2</v>
      </c>
      <c r="F14" s="119">
        <v>14</v>
      </c>
      <c r="G14" s="119">
        <v>20</v>
      </c>
      <c r="H14" s="119">
        <v>7</v>
      </c>
      <c r="I14" s="119">
        <v>8</v>
      </c>
      <c r="J14" s="119">
        <v>3</v>
      </c>
      <c r="K14" s="119">
        <v>3</v>
      </c>
      <c r="L14" s="119">
        <v>0</v>
      </c>
    </row>
    <row r="15" spans="1:12" ht="15.75" customHeight="1">
      <c r="A15" s="117" t="s">
        <v>458</v>
      </c>
      <c r="B15" s="294">
        <v>132</v>
      </c>
      <c r="C15" s="119">
        <v>57</v>
      </c>
      <c r="D15" s="119">
        <v>18</v>
      </c>
      <c r="E15" s="119">
        <v>5</v>
      </c>
      <c r="F15" s="119">
        <v>4</v>
      </c>
      <c r="G15" s="119">
        <v>17</v>
      </c>
      <c r="H15" s="119">
        <v>8</v>
      </c>
      <c r="I15" s="119">
        <v>6</v>
      </c>
      <c r="J15" s="119">
        <v>5</v>
      </c>
      <c r="K15" s="119">
        <v>11</v>
      </c>
      <c r="L15" s="119">
        <v>1</v>
      </c>
    </row>
    <row r="16" spans="1:12" ht="15.75" customHeight="1">
      <c r="A16" s="117" t="s">
        <v>22</v>
      </c>
      <c r="B16" s="294">
        <v>57</v>
      </c>
      <c r="C16" s="119">
        <v>24</v>
      </c>
      <c r="D16" s="119">
        <v>11</v>
      </c>
      <c r="E16" s="119">
        <v>2</v>
      </c>
      <c r="F16" s="119">
        <v>1</v>
      </c>
      <c r="G16" s="119">
        <v>8</v>
      </c>
      <c r="H16" s="119">
        <v>3</v>
      </c>
      <c r="I16" s="119">
        <v>4</v>
      </c>
      <c r="J16" s="119">
        <v>2</v>
      </c>
      <c r="K16" s="119">
        <v>2</v>
      </c>
      <c r="L16" s="119">
        <v>0</v>
      </c>
    </row>
    <row r="17" spans="1:12" ht="15.75" customHeight="1">
      <c r="A17" s="117" t="s">
        <v>21</v>
      </c>
      <c r="B17" s="294">
        <v>75</v>
      </c>
      <c r="C17" s="119">
        <v>33</v>
      </c>
      <c r="D17" s="119">
        <v>7</v>
      </c>
      <c r="E17" s="119">
        <v>3</v>
      </c>
      <c r="F17" s="119">
        <v>3</v>
      </c>
      <c r="G17" s="119">
        <v>9</v>
      </c>
      <c r="H17" s="119">
        <v>5</v>
      </c>
      <c r="I17" s="119">
        <v>2</v>
      </c>
      <c r="J17" s="119">
        <v>3</v>
      </c>
      <c r="K17" s="119">
        <v>9</v>
      </c>
      <c r="L17" s="119">
        <v>1</v>
      </c>
    </row>
    <row r="18" spans="1:12" ht="15.75" customHeight="1">
      <c r="A18" s="116" t="s">
        <v>430</v>
      </c>
      <c r="B18" s="293">
        <v>27</v>
      </c>
      <c r="C18" s="118">
        <v>27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</row>
    <row r="19" spans="1:12" ht="15.75" customHeight="1">
      <c r="A19" s="117" t="s">
        <v>458</v>
      </c>
      <c r="B19" s="294">
        <v>27</v>
      </c>
      <c r="C19" s="119">
        <v>27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15.75" customHeight="1">
      <c r="A20" s="117" t="s">
        <v>22</v>
      </c>
      <c r="B20" s="294">
        <v>5</v>
      </c>
      <c r="C20" s="119">
        <v>5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</row>
    <row r="21" spans="1:12" ht="15.75" customHeight="1">
      <c r="A21" s="117" t="s">
        <v>21</v>
      </c>
      <c r="B21" s="294">
        <v>22</v>
      </c>
      <c r="C21" s="119">
        <v>22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</row>
    <row r="22" spans="1:12" ht="15.75" customHeight="1">
      <c r="A22" s="116" t="s">
        <v>195</v>
      </c>
      <c r="B22" s="293">
        <v>9</v>
      </c>
      <c r="C22" s="118">
        <v>8</v>
      </c>
      <c r="D22" s="118">
        <v>0</v>
      </c>
      <c r="E22" s="118">
        <v>0</v>
      </c>
      <c r="F22" s="118">
        <v>0</v>
      </c>
      <c r="G22" s="118">
        <v>1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</row>
    <row r="23" spans="1:12" ht="15.75" customHeight="1">
      <c r="A23" s="117" t="s">
        <v>458</v>
      </c>
      <c r="B23" s="294">
        <v>9</v>
      </c>
      <c r="C23" s="119">
        <v>8</v>
      </c>
      <c r="D23" s="119">
        <v>0</v>
      </c>
      <c r="E23" s="119">
        <v>0</v>
      </c>
      <c r="F23" s="119">
        <v>0</v>
      </c>
      <c r="G23" s="119">
        <v>1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</row>
    <row r="24" spans="1:12" ht="15.75" customHeight="1">
      <c r="A24" s="117" t="s">
        <v>22</v>
      </c>
      <c r="B24" s="294">
        <v>5</v>
      </c>
      <c r="C24" s="119">
        <v>5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</row>
    <row r="25" spans="1:12" ht="15.75" customHeight="1" thickBot="1">
      <c r="A25" s="120" t="s">
        <v>21</v>
      </c>
      <c r="B25" s="295">
        <v>4</v>
      </c>
      <c r="C25" s="121">
        <v>3</v>
      </c>
      <c r="D25" s="121">
        <v>0</v>
      </c>
      <c r="E25" s="121">
        <v>0</v>
      </c>
      <c r="F25" s="121">
        <v>0</v>
      </c>
      <c r="G25" s="121">
        <v>1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</row>
    <row r="26" spans="1:12" ht="15">
      <c r="A26" s="391" t="s">
        <v>635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</sheetData>
  <sheetProtection/>
  <mergeCells count="6">
    <mergeCell ref="A1:L1"/>
    <mergeCell ref="A2:L2"/>
    <mergeCell ref="A3:L3"/>
    <mergeCell ref="A4:L4"/>
    <mergeCell ref="C5:L5"/>
    <mergeCell ref="A26:L2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zoomScale="85" zoomScaleNormal="85" zoomScalePageLayoutView="0" workbookViewId="0" topLeftCell="A1">
      <selection activeCell="D48" sqref="D48"/>
    </sheetView>
  </sheetViews>
  <sheetFormatPr defaultColWidth="11.421875" defaultRowHeight="12.75"/>
  <cols>
    <col min="1" max="1" width="56.140625" style="110" bestFit="1" customWidth="1"/>
    <col min="2" max="2" width="6.8515625" style="110" bestFit="1" customWidth="1"/>
    <col min="3" max="3" width="8.8515625" style="110" bestFit="1" customWidth="1"/>
    <col min="4" max="4" width="9.28125" style="110" bestFit="1" customWidth="1"/>
    <col min="5" max="16384" width="11.421875" style="110" customWidth="1"/>
  </cols>
  <sheetData>
    <row r="1" spans="1:11" ht="18">
      <c r="A1" s="397" t="s">
        <v>503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0" ht="15.75" customHeight="1">
      <c r="A2" s="423" t="s">
        <v>429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75" customHeight="1">
      <c r="A3" s="423" t="s">
        <v>528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75" thickBot="1">
      <c r="A4" s="395" t="s">
        <v>460</v>
      </c>
      <c r="B4" s="431"/>
      <c r="C4" s="431"/>
      <c r="D4" s="431"/>
      <c r="E4" s="111"/>
      <c r="F4" s="111"/>
      <c r="G4" s="111"/>
      <c r="H4" s="111"/>
      <c r="I4" s="111"/>
      <c r="J4" s="111"/>
    </row>
    <row r="5" spans="1:4" ht="15.75">
      <c r="A5" s="114"/>
      <c r="B5" s="328" t="s">
        <v>134</v>
      </c>
      <c r="C5" s="396" t="s">
        <v>421</v>
      </c>
      <c r="D5" s="396"/>
    </row>
    <row r="6" spans="1:4" ht="15.75">
      <c r="A6" s="114"/>
      <c r="B6" s="65"/>
      <c r="C6" s="356" t="s">
        <v>22</v>
      </c>
      <c r="D6" s="356" t="s">
        <v>21</v>
      </c>
    </row>
    <row r="7" spans="1:4" ht="15.75">
      <c r="A7" s="115" t="s">
        <v>134</v>
      </c>
      <c r="B7" s="261">
        <v>228</v>
      </c>
      <c r="C7" s="98">
        <v>96</v>
      </c>
      <c r="D7" s="98">
        <v>132</v>
      </c>
    </row>
    <row r="8" spans="1:4" ht="15.75">
      <c r="A8" s="115" t="s">
        <v>516</v>
      </c>
      <c r="B8" s="261">
        <v>228</v>
      </c>
      <c r="C8" s="98">
        <v>96</v>
      </c>
      <c r="D8" s="98">
        <v>132</v>
      </c>
    </row>
    <row r="9" spans="1:4" ht="15.75">
      <c r="A9" s="113" t="s">
        <v>137</v>
      </c>
      <c r="B9" s="261">
        <v>225</v>
      </c>
      <c r="C9" s="98">
        <v>95</v>
      </c>
      <c r="D9" s="98">
        <v>130</v>
      </c>
    </row>
    <row r="10" spans="1:4" ht="15">
      <c r="A10" s="111" t="s">
        <v>364</v>
      </c>
      <c r="B10" s="262">
        <v>34</v>
      </c>
      <c r="C10" s="68">
        <v>5</v>
      </c>
      <c r="D10" s="68">
        <v>29</v>
      </c>
    </row>
    <row r="11" spans="1:4" ht="15">
      <c r="A11" s="111" t="s">
        <v>365</v>
      </c>
      <c r="B11" s="262">
        <v>34</v>
      </c>
      <c r="C11" s="68">
        <v>5</v>
      </c>
      <c r="D11" s="68">
        <v>29</v>
      </c>
    </row>
    <row r="12" spans="1:4" ht="15">
      <c r="A12" s="111" t="s">
        <v>366</v>
      </c>
      <c r="B12" s="262">
        <v>18</v>
      </c>
      <c r="C12" s="68">
        <v>8</v>
      </c>
      <c r="D12" s="68">
        <v>10</v>
      </c>
    </row>
    <row r="13" spans="1:4" ht="15">
      <c r="A13" s="111" t="s">
        <v>368</v>
      </c>
      <c r="B13" s="262">
        <v>3</v>
      </c>
      <c r="C13" s="68">
        <v>3</v>
      </c>
      <c r="D13" s="68">
        <v>0</v>
      </c>
    </row>
    <row r="14" spans="1:4" ht="15">
      <c r="A14" s="111" t="s">
        <v>370</v>
      </c>
      <c r="B14" s="262">
        <v>1</v>
      </c>
      <c r="C14" s="68">
        <v>0</v>
      </c>
      <c r="D14" s="68">
        <v>1</v>
      </c>
    </row>
    <row r="15" spans="1:4" ht="15">
      <c r="A15" s="111" t="s">
        <v>373</v>
      </c>
      <c r="B15" s="262">
        <v>1</v>
      </c>
      <c r="C15" s="68">
        <v>0</v>
      </c>
      <c r="D15" s="68">
        <v>1</v>
      </c>
    </row>
    <row r="16" spans="1:4" ht="15">
      <c r="A16" s="111" t="s">
        <v>376</v>
      </c>
      <c r="B16" s="262">
        <v>6</v>
      </c>
      <c r="C16" s="68">
        <v>4</v>
      </c>
      <c r="D16" s="68">
        <v>2</v>
      </c>
    </row>
    <row r="17" spans="1:10" ht="15">
      <c r="A17" s="111" t="s">
        <v>378</v>
      </c>
      <c r="B17" s="262">
        <v>1</v>
      </c>
      <c r="C17" s="68">
        <v>1</v>
      </c>
      <c r="D17" s="68">
        <v>0</v>
      </c>
      <c r="J17" s="25"/>
    </row>
    <row r="18" spans="1:4" ht="15">
      <c r="A18" s="111" t="s">
        <v>380</v>
      </c>
      <c r="B18" s="262">
        <v>6</v>
      </c>
      <c r="C18" s="68">
        <v>0</v>
      </c>
      <c r="D18" s="68">
        <v>6</v>
      </c>
    </row>
    <row r="19" spans="1:4" ht="15">
      <c r="A19" s="111" t="s">
        <v>381</v>
      </c>
      <c r="B19" s="262">
        <v>173</v>
      </c>
      <c r="C19" s="68">
        <v>82</v>
      </c>
      <c r="D19" s="68">
        <v>91</v>
      </c>
    </row>
    <row r="20" spans="1:4" ht="15">
      <c r="A20" s="111" t="s">
        <v>382</v>
      </c>
      <c r="B20" s="262">
        <v>13</v>
      </c>
      <c r="C20" s="68">
        <v>5</v>
      </c>
      <c r="D20" s="68">
        <v>8</v>
      </c>
    </row>
    <row r="21" spans="1:4" ht="15">
      <c r="A21" s="111" t="s">
        <v>383</v>
      </c>
      <c r="B21" s="262">
        <v>3</v>
      </c>
      <c r="C21" s="68">
        <v>2</v>
      </c>
      <c r="D21" s="68">
        <v>1</v>
      </c>
    </row>
    <row r="22" spans="1:4" ht="15">
      <c r="A22" s="111" t="s">
        <v>384</v>
      </c>
      <c r="B22" s="262">
        <v>61</v>
      </c>
      <c r="C22" s="68">
        <v>31</v>
      </c>
      <c r="D22" s="68">
        <v>30</v>
      </c>
    </row>
    <row r="23" spans="1:4" ht="15">
      <c r="A23" s="111" t="s">
        <v>386</v>
      </c>
      <c r="B23" s="262">
        <v>1</v>
      </c>
      <c r="C23" s="68">
        <v>1</v>
      </c>
      <c r="D23" s="68">
        <v>0</v>
      </c>
    </row>
    <row r="24" spans="1:4" ht="15">
      <c r="A24" s="111" t="s">
        <v>387</v>
      </c>
      <c r="B24" s="262">
        <v>5</v>
      </c>
      <c r="C24" s="68">
        <v>2</v>
      </c>
      <c r="D24" s="68">
        <v>3</v>
      </c>
    </row>
    <row r="25" spans="1:4" ht="15">
      <c r="A25" s="111" t="s">
        <v>388</v>
      </c>
      <c r="B25" s="262">
        <v>9</v>
      </c>
      <c r="C25" s="68">
        <v>2</v>
      </c>
      <c r="D25" s="68">
        <v>7</v>
      </c>
    </row>
    <row r="26" spans="1:11" ht="15">
      <c r="A26" s="111" t="s">
        <v>389</v>
      </c>
      <c r="B26" s="262">
        <v>1</v>
      </c>
      <c r="C26" s="68">
        <v>1</v>
      </c>
      <c r="D26" s="68">
        <v>0</v>
      </c>
      <c r="H26" s="433"/>
      <c r="I26" s="434"/>
      <c r="J26" s="434"/>
      <c r="K26" s="434"/>
    </row>
    <row r="27" spans="1:4" ht="15">
      <c r="A27" s="111" t="s">
        <v>391</v>
      </c>
      <c r="B27" s="262">
        <v>1</v>
      </c>
      <c r="C27" s="68">
        <v>0</v>
      </c>
      <c r="D27" s="68">
        <v>1</v>
      </c>
    </row>
    <row r="28" spans="1:4" ht="15">
      <c r="A28" s="111" t="s">
        <v>392</v>
      </c>
      <c r="B28" s="262">
        <v>5</v>
      </c>
      <c r="C28" s="68">
        <v>3</v>
      </c>
      <c r="D28" s="68">
        <v>2</v>
      </c>
    </row>
    <row r="29" spans="1:4" ht="15">
      <c r="A29" s="111" t="s">
        <v>393</v>
      </c>
      <c r="B29" s="262">
        <v>2</v>
      </c>
      <c r="C29" s="68">
        <v>2</v>
      </c>
      <c r="D29" s="68">
        <v>0</v>
      </c>
    </row>
    <row r="30" spans="1:4" ht="15">
      <c r="A30" s="111" t="s">
        <v>394</v>
      </c>
      <c r="B30" s="262">
        <v>1</v>
      </c>
      <c r="C30" s="68">
        <v>0</v>
      </c>
      <c r="D30" s="68">
        <v>1</v>
      </c>
    </row>
    <row r="31" spans="1:4" ht="15" customHeight="1">
      <c r="A31" s="111" t="s">
        <v>395</v>
      </c>
      <c r="B31" s="262">
        <v>2</v>
      </c>
      <c r="C31" s="68">
        <v>1</v>
      </c>
      <c r="D31" s="68">
        <v>1</v>
      </c>
    </row>
    <row r="32" spans="1:4" ht="15">
      <c r="A32" s="111" t="s">
        <v>396</v>
      </c>
      <c r="B32" s="262">
        <v>24</v>
      </c>
      <c r="C32" s="68">
        <v>10</v>
      </c>
      <c r="D32" s="68">
        <v>14</v>
      </c>
    </row>
    <row r="33" spans="1:4" ht="15">
      <c r="A33" s="111" t="s">
        <v>397</v>
      </c>
      <c r="B33" s="262">
        <v>2</v>
      </c>
      <c r="C33" s="68">
        <v>2</v>
      </c>
      <c r="D33" s="68">
        <v>0</v>
      </c>
    </row>
    <row r="34" spans="1:4" ht="15">
      <c r="A34" s="111" t="s">
        <v>398</v>
      </c>
      <c r="B34" s="262">
        <v>3</v>
      </c>
      <c r="C34" s="68">
        <v>2</v>
      </c>
      <c r="D34" s="68">
        <v>1</v>
      </c>
    </row>
    <row r="35" spans="1:4" ht="15">
      <c r="A35" s="111" t="s">
        <v>399</v>
      </c>
      <c r="B35" s="262">
        <v>30</v>
      </c>
      <c r="C35" s="68">
        <v>9</v>
      </c>
      <c r="D35" s="68">
        <v>21</v>
      </c>
    </row>
    <row r="36" spans="1:4" ht="15">
      <c r="A36" s="111" t="s">
        <v>400</v>
      </c>
      <c r="B36" s="262">
        <v>3</v>
      </c>
      <c r="C36" s="68">
        <v>2</v>
      </c>
      <c r="D36" s="68">
        <v>1</v>
      </c>
    </row>
    <row r="37" spans="1:4" ht="15" customHeight="1">
      <c r="A37" s="111" t="s">
        <v>401</v>
      </c>
      <c r="B37" s="262">
        <v>7</v>
      </c>
      <c r="C37" s="68">
        <v>7</v>
      </c>
      <c r="D37" s="68">
        <v>0</v>
      </c>
    </row>
    <row r="38" spans="1:4" ht="15" customHeight="1">
      <c r="A38" s="113" t="s">
        <v>430</v>
      </c>
      <c r="B38" s="261">
        <v>2</v>
      </c>
      <c r="C38" s="98">
        <v>1</v>
      </c>
      <c r="D38" s="98">
        <v>1</v>
      </c>
    </row>
    <row r="39" spans="1:4" ht="15">
      <c r="A39" s="111" t="s">
        <v>366</v>
      </c>
      <c r="B39" s="262">
        <v>1</v>
      </c>
      <c r="C39" s="68">
        <v>1</v>
      </c>
      <c r="D39" s="68">
        <v>0</v>
      </c>
    </row>
    <row r="40" spans="1:4" ht="15">
      <c r="A40" s="111" t="s">
        <v>377</v>
      </c>
      <c r="B40" s="262">
        <v>1</v>
      </c>
      <c r="C40" s="68">
        <v>1</v>
      </c>
      <c r="D40" s="68">
        <v>0</v>
      </c>
    </row>
    <row r="41" spans="1:4" ht="15">
      <c r="A41" s="111" t="s">
        <v>381</v>
      </c>
      <c r="B41" s="262">
        <v>1</v>
      </c>
      <c r="C41" s="68">
        <v>0</v>
      </c>
      <c r="D41" s="68">
        <v>1</v>
      </c>
    </row>
    <row r="42" spans="1:4" ht="15">
      <c r="A42" s="111" t="s">
        <v>384</v>
      </c>
      <c r="B42" s="262">
        <v>1</v>
      </c>
      <c r="C42" s="68">
        <v>0</v>
      </c>
      <c r="D42" s="68">
        <v>1</v>
      </c>
    </row>
    <row r="43" spans="1:4" ht="15.75">
      <c r="A43" s="113" t="s">
        <v>195</v>
      </c>
      <c r="B43" s="261">
        <v>1</v>
      </c>
      <c r="C43" s="98">
        <v>0</v>
      </c>
      <c r="D43" s="98">
        <v>1</v>
      </c>
    </row>
    <row r="44" spans="1:7" ht="15">
      <c r="A44" s="111" t="s">
        <v>366</v>
      </c>
      <c r="B44" s="262">
        <v>1</v>
      </c>
      <c r="C44" s="68">
        <v>0</v>
      </c>
      <c r="D44" s="68">
        <v>1</v>
      </c>
      <c r="G44" s="25"/>
    </row>
    <row r="45" spans="1:12" ht="15.75" thickBot="1">
      <c r="A45" s="122" t="s">
        <v>380</v>
      </c>
      <c r="B45" s="263">
        <v>1</v>
      </c>
      <c r="C45" s="83">
        <v>0</v>
      </c>
      <c r="D45" s="83">
        <v>1</v>
      </c>
      <c r="E45" s="25"/>
      <c r="F45" s="25"/>
      <c r="G45" s="25"/>
      <c r="H45" s="25"/>
      <c r="I45" s="25"/>
      <c r="J45" s="25"/>
      <c r="K45" s="25"/>
      <c r="L45" s="25"/>
    </row>
    <row r="46" spans="1:12" ht="15">
      <c r="A46" s="391" t="s">
        <v>635</v>
      </c>
      <c r="B46" s="391"/>
      <c r="C46" s="391"/>
      <c r="D46" s="391"/>
      <c r="E46" s="181"/>
      <c r="F46" s="181"/>
      <c r="G46" s="181"/>
      <c r="H46" s="181"/>
      <c r="I46" s="181"/>
      <c r="J46" s="181"/>
      <c r="K46" s="181"/>
      <c r="L46" s="181"/>
    </row>
  </sheetData>
  <sheetProtection/>
  <mergeCells count="7">
    <mergeCell ref="A1:K1"/>
    <mergeCell ref="A46:D46"/>
    <mergeCell ref="A2:J2"/>
    <mergeCell ref="A3:J3"/>
    <mergeCell ref="A4:D4"/>
    <mergeCell ref="C5:D5"/>
    <mergeCell ref="H26:K2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zoomScale="85" zoomScaleNormal="85" zoomScalePageLayoutView="0" workbookViewId="0" topLeftCell="A1">
      <selection activeCell="P24" sqref="P24"/>
    </sheetView>
  </sheetViews>
  <sheetFormatPr defaultColWidth="11.421875" defaultRowHeight="12.75"/>
  <cols>
    <col min="1" max="1" width="19.57421875" style="41" bestFit="1" customWidth="1"/>
    <col min="2" max="2" width="8.00390625" style="41" customWidth="1"/>
    <col min="3" max="3" width="7.7109375" style="41" bestFit="1" customWidth="1"/>
    <col min="4" max="4" width="9.28125" style="41" bestFit="1" customWidth="1"/>
    <col min="5" max="5" width="8.8515625" style="41" bestFit="1" customWidth="1"/>
    <col min="6" max="6" width="14.140625" style="41" bestFit="1" customWidth="1"/>
    <col min="7" max="7" width="9.28125" style="41" bestFit="1" customWidth="1"/>
    <col min="8" max="8" width="9.00390625" style="41" bestFit="1" customWidth="1"/>
    <col min="9" max="9" width="9.28125" style="41" bestFit="1" customWidth="1"/>
    <col min="10" max="10" width="10.28125" style="41" bestFit="1" customWidth="1"/>
    <col min="11" max="11" width="9.28125" style="41" bestFit="1" customWidth="1"/>
    <col min="12" max="12" width="15.140625" style="41" bestFit="1" customWidth="1"/>
    <col min="13" max="16384" width="11.421875" style="41" customWidth="1"/>
  </cols>
  <sheetData>
    <row r="1" spans="1:12" ht="18" customHeight="1">
      <c r="A1" s="397" t="s">
        <v>356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.75" customHeight="1">
      <c r="A2" s="423" t="s">
        <v>429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ht="15.75" customHeight="1">
      <c r="A3" s="423" t="s">
        <v>528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15.75" thickBot="1">
      <c r="A4" s="395" t="s">
        <v>640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1:12" ht="15.75" customHeight="1">
      <c r="A5" s="114"/>
      <c r="B5" s="328" t="s">
        <v>134</v>
      </c>
      <c r="C5" s="396" t="s">
        <v>122</v>
      </c>
      <c r="D5" s="396"/>
      <c r="E5" s="396"/>
      <c r="F5" s="396"/>
      <c r="G5" s="396"/>
      <c r="H5" s="396"/>
      <c r="I5" s="396"/>
      <c r="J5" s="396"/>
      <c r="K5" s="396"/>
      <c r="L5" s="396"/>
    </row>
    <row r="6" spans="1:12" ht="15.75" customHeight="1">
      <c r="A6" s="114"/>
      <c r="B6" s="340"/>
      <c r="C6" s="258" t="s">
        <v>123</v>
      </c>
      <c r="D6" s="258" t="s">
        <v>124</v>
      </c>
      <c r="E6" s="258" t="s">
        <v>125</v>
      </c>
      <c r="F6" s="258" t="s">
        <v>126</v>
      </c>
      <c r="G6" s="258" t="s">
        <v>127</v>
      </c>
      <c r="H6" s="258" t="s">
        <v>129</v>
      </c>
      <c r="I6" s="258" t="s">
        <v>130</v>
      </c>
      <c r="J6" s="258" t="s">
        <v>131</v>
      </c>
      <c r="K6" s="258" t="s">
        <v>132</v>
      </c>
      <c r="L6" s="258" t="s">
        <v>133</v>
      </c>
    </row>
    <row r="7" spans="1:12" ht="15.75" customHeight="1">
      <c r="A7" s="115" t="s">
        <v>134</v>
      </c>
      <c r="B7" s="261">
        <v>379</v>
      </c>
      <c r="C7" s="98">
        <v>155</v>
      </c>
      <c r="D7" s="98">
        <v>47</v>
      </c>
      <c r="E7" s="98">
        <v>21</v>
      </c>
      <c r="F7" s="98">
        <v>31</v>
      </c>
      <c r="G7" s="98">
        <v>45</v>
      </c>
      <c r="H7" s="98">
        <v>21</v>
      </c>
      <c r="I7" s="98">
        <v>22</v>
      </c>
      <c r="J7" s="98">
        <v>12</v>
      </c>
      <c r="K7" s="98">
        <v>20</v>
      </c>
      <c r="L7" s="98">
        <v>5</v>
      </c>
    </row>
    <row r="8" spans="1:12" ht="15.75" customHeight="1">
      <c r="A8" s="115" t="s">
        <v>136</v>
      </c>
      <c r="B8" s="261">
        <v>18</v>
      </c>
      <c r="C8" s="98">
        <v>8</v>
      </c>
      <c r="D8" s="98">
        <v>2</v>
      </c>
      <c r="E8" s="98">
        <v>2</v>
      </c>
      <c r="F8" s="98">
        <v>0</v>
      </c>
      <c r="G8" s="98">
        <v>2</v>
      </c>
      <c r="H8" s="98">
        <v>0</v>
      </c>
      <c r="I8" s="98">
        <v>1</v>
      </c>
      <c r="J8" s="98">
        <v>0</v>
      </c>
      <c r="K8" s="98">
        <v>3</v>
      </c>
      <c r="L8" s="98">
        <v>0</v>
      </c>
    </row>
    <row r="9" spans="1:12" ht="15.75" customHeight="1">
      <c r="A9" s="113" t="s">
        <v>261</v>
      </c>
      <c r="B9" s="261">
        <v>229</v>
      </c>
      <c r="C9" s="98">
        <v>90</v>
      </c>
      <c r="D9" s="98">
        <v>27</v>
      </c>
      <c r="E9" s="98">
        <v>14</v>
      </c>
      <c r="F9" s="98">
        <v>27</v>
      </c>
      <c r="G9" s="98">
        <v>26</v>
      </c>
      <c r="H9" s="98">
        <v>13</v>
      </c>
      <c r="I9" s="98">
        <v>15</v>
      </c>
      <c r="J9" s="98">
        <v>7</v>
      </c>
      <c r="K9" s="98">
        <v>6</v>
      </c>
      <c r="L9" s="98">
        <v>4</v>
      </c>
    </row>
    <row r="10" spans="1:12" ht="15.75" customHeight="1">
      <c r="A10" s="111" t="s">
        <v>146</v>
      </c>
      <c r="B10" s="262">
        <v>1</v>
      </c>
      <c r="C10" s="68">
        <v>1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</row>
    <row r="11" spans="1:12" ht="15.75" customHeight="1">
      <c r="A11" s="111" t="s">
        <v>173</v>
      </c>
      <c r="B11" s="262">
        <v>3</v>
      </c>
      <c r="C11" s="68">
        <v>1</v>
      </c>
      <c r="D11" s="68">
        <v>0</v>
      </c>
      <c r="E11" s="68">
        <v>1</v>
      </c>
      <c r="F11" s="68">
        <v>0</v>
      </c>
      <c r="G11" s="68">
        <v>0</v>
      </c>
      <c r="H11" s="68">
        <v>0</v>
      </c>
      <c r="I11" s="68">
        <v>1</v>
      </c>
      <c r="J11" s="68">
        <v>0</v>
      </c>
      <c r="K11" s="68">
        <v>0</v>
      </c>
      <c r="L11" s="68">
        <v>0</v>
      </c>
    </row>
    <row r="12" spans="1:12" ht="15.75" customHeight="1">
      <c r="A12" s="111" t="s">
        <v>148</v>
      </c>
      <c r="B12" s="262">
        <v>94</v>
      </c>
      <c r="C12" s="68">
        <v>49</v>
      </c>
      <c r="D12" s="68">
        <v>9</v>
      </c>
      <c r="E12" s="68">
        <v>1</v>
      </c>
      <c r="F12" s="68">
        <v>9</v>
      </c>
      <c r="G12" s="68">
        <v>14</v>
      </c>
      <c r="H12" s="68">
        <v>3</v>
      </c>
      <c r="I12" s="68">
        <v>2</v>
      </c>
      <c r="J12" s="68">
        <v>3</v>
      </c>
      <c r="K12" s="68">
        <v>2</v>
      </c>
      <c r="L12" s="68">
        <v>2</v>
      </c>
    </row>
    <row r="13" spans="1:12" ht="15.75" customHeight="1">
      <c r="A13" s="111" t="s">
        <v>149</v>
      </c>
      <c r="B13" s="262">
        <v>1</v>
      </c>
      <c r="C13" s="68">
        <v>0</v>
      </c>
      <c r="D13" s="68">
        <v>0</v>
      </c>
      <c r="E13" s="68">
        <v>0</v>
      </c>
      <c r="F13" s="68">
        <v>1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</row>
    <row r="14" spans="1:12" ht="15.75" customHeight="1">
      <c r="A14" s="111" t="s">
        <v>150</v>
      </c>
      <c r="B14" s="262">
        <v>7</v>
      </c>
      <c r="C14" s="68">
        <v>2</v>
      </c>
      <c r="D14" s="68">
        <v>0</v>
      </c>
      <c r="E14" s="68">
        <v>0</v>
      </c>
      <c r="F14" s="68">
        <v>0</v>
      </c>
      <c r="G14" s="68">
        <v>2</v>
      </c>
      <c r="H14" s="68">
        <v>1</v>
      </c>
      <c r="I14" s="68">
        <v>2</v>
      </c>
      <c r="J14" s="68">
        <v>0</v>
      </c>
      <c r="K14" s="68">
        <v>0</v>
      </c>
      <c r="L14" s="68">
        <v>0</v>
      </c>
    </row>
    <row r="15" spans="1:12" ht="15.75" customHeight="1">
      <c r="A15" s="111" t="s">
        <v>151</v>
      </c>
      <c r="B15" s="262">
        <v>3</v>
      </c>
      <c r="C15" s="68">
        <v>0</v>
      </c>
      <c r="D15" s="68">
        <v>0</v>
      </c>
      <c r="E15" s="68">
        <v>1</v>
      </c>
      <c r="F15" s="68">
        <v>0</v>
      </c>
      <c r="G15" s="68">
        <v>1</v>
      </c>
      <c r="H15" s="68">
        <v>0</v>
      </c>
      <c r="I15" s="68">
        <v>1</v>
      </c>
      <c r="J15" s="68">
        <v>0</v>
      </c>
      <c r="K15" s="68">
        <v>0</v>
      </c>
      <c r="L15" s="68">
        <v>0</v>
      </c>
    </row>
    <row r="16" spans="1:12" ht="15.75" customHeight="1">
      <c r="A16" s="111" t="s">
        <v>167</v>
      </c>
      <c r="B16" s="262">
        <v>3</v>
      </c>
      <c r="C16" s="68">
        <v>2</v>
      </c>
      <c r="D16" s="68">
        <v>0</v>
      </c>
      <c r="E16" s="68">
        <v>0</v>
      </c>
      <c r="F16" s="68">
        <v>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</row>
    <row r="17" spans="1:12" ht="15.75" customHeight="1">
      <c r="A17" s="111" t="s">
        <v>152</v>
      </c>
      <c r="B17" s="262">
        <v>3</v>
      </c>
      <c r="C17" s="68">
        <v>1</v>
      </c>
      <c r="D17" s="68">
        <v>0</v>
      </c>
      <c r="E17" s="68">
        <v>0</v>
      </c>
      <c r="F17" s="68">
        <v>0</v>
      </c>
      <c r="G17" s="68">
        <v>1</v>
      </c>
      <c r="H17" s="68">
        <v>0</v>
      </c>
      <c r="I17" s="68">
        <v>1</v>
      </c>
      <c r="J17" s="68">
        <v>0</v>
      </c>
      <c r="K17" s="68">
        <v>0</v>
      </c>
      <c r="L17" s="68">
        <v>0</v>
      </c>
    </row>
    <row r="18" spans="1:12" ht="15.75" customHeight="1">
      <c r="A18" s="111" t="s">
        <v>153</v>
      </c>
      <c r="B18" s="262">
        <v>21</v>
      </c>
      <c r="C18" s="68">
        <v>9</v>
      </c>
      <c r="D18" s="68">
        <v>5</v>
      </c>
      <c r="E18" s="68">
        <v>0</v>
      </c>
      <c r="F18" s="68">
        <v>3</v>
      </c>
      <c r="G18" s="68">
        <v>2</v>
      </c>
      <c r="H18" s="68">
        <v>0</v>
      </c>
      <c r="I18" s="68">
        <v>2</v>
      </c>
      <c r="J18" s="68">
        <v>0</v>
      </c>
      <c r="K18" s="68">
        <v>0</v>
      </c>
      <c r="L18" s="68">
        <v>0</v>
      </c>
    </row>
    <row r="19" spans="1:12" ht="15.75" customHeight="1">
      <c r="A19" s="111" t="s">
        <v>162</v>
      </c>
      <c r="B19" s="262">
        <v>3</v>
      </c>
      <c r="C19" s="68">
        <v>1</v>
      </c>
      <c r="D19" s="68">
        <v>1</v>
      </c>
      <c r="E19" s="68">
        <v>0</v>
      </c>
      <c r="F19" s="68">
        <v>0</v>
      </c>
      <c r="G19" s="68">
        <v>0</v>
      </c>
      <c r="H19" s="68">
        <v>1</v>
      </c>
      <c r="I19" s="68">
        <v>0</v>
      </c>
      <c r="J19" s="68">
        <v>0</v>
      </c>
      <c r="K19" s="68">
        <v>0</v>
      </c>
      <c r="L19" s="68">
        <v>0</v>
      </c>
    </row>
    <row r="20" spans="1:12" ht="15.75" customHeight="1">
      <c r="A20" s="111" t="s">
        <v>235</v>
      </c>
      <c r="B20" s="262">
        <v>3</v>
      </c>
      <c r="C20" s="68">
        <v>2</v>
      </c>
      <c r="D20" s="68">
        <v>0</v>
      </c>
      <c r="E20" s="68">
        <v>0</v>
      </c>
      <c r="F20" s="68">
        <v>0</v>
      </c>
      <c r="G20" s="68">
        <v>1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</row>
    <row r="21" spans="1:12" ht="15.75" customHeight="1">
      <c r="A21" s="111" t="s">
        <v>67</v>
      </c>
      <c r="B21" s="262">
        <v>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1</v>
      </c>
      <c r="I21" s="68">
        <v>0</v>
      </c>
      <c r="J21" s="68">
        <v>0</v>
      </c>
      <c r="K21" s="68">
        <v>0</v>
      </c>
      <c r="L21" s="68">
        <v>0</v>
      </c>
    </row>
    <row r="22" spans="1:12" ht="15.75" customHeight="1">
      <c r="A22" s="111" t="s">
        <v>155</v>
      </c>
      <c r="B22" s="262">
        <v>3</v>
      </c>
      <c r="C22" s="68">
        <v>1</v>
      </c>
      <c r="D22" s="68">
        <v>0</v>
      </c>
      <c r="E22" s="68">
        <v>1</v>
      </c>
      <c r="F22" s="68">
        <v>0</v>
      </c>
      <c r="G22" s="68">
        <v>0</v>
      </c>
      <c r="H22" s="68">
        <v>1</v>
      </c>
      <c r="I22" s="68">
        <v>0</v>
      </c>
      <c r="J22" s="68">
        <v>0</v>
      </c>
      <c r="K22" s="68">
        <v>0</v>
      </c>
      <c r="L22" s="68">
        <v>0</v>
      </c>
    </row>
    <row r="23" spans="1:12" ht="15.75" customHeight="1">
      <c r="A23" s="111" t="s">
        <v>157</v>
      </c>
      <c r="B23" s="262">
        <v>33</v>
      </c>
      <c r="C23" s="68">
        <v>4</v>
      </c>
      <c r="D23" s="68">
        <v>7</v>
      </c>
      <c r="E23" s="68">
        <v>2</v>
      </c>
      <c r="F23" s="68">
        <v>7</v>
      </c>
      <c r="G23" s="68">
        <v>0</v>
      </c>
      <c r="H23" s="68">
        <v>4</v>
      </c>
      <c r="I23" s="68">
        <v>3</v>
      </c>
      <c r="J23" s="68">
        <v>4</v>
      </c>
      <c r="K23" s="68">
        <v>2</v>
      </c>
      <c r="L23" s="68">
        <v>0</v>
      </c>
    </row>
    <row r="24" spans="1:12" ht="15.75" customHeight="1">
      <c r="A24" s="111" t="s">
        <v>186</v>
      </c>
      <c r="B24" s="262">
        <v>5</v>
      </c>
      <c r="C24" s="68">
        <v>3</v>
      </c>
      <c r="D24" s="68">
        <v>0</v>
      </c>
      <c r="E24" s="68">
        <v>0</v>
      </c>
      <c r="F24" s="68">
        <v>1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1</v>
      </c>
    </row>
    <row r="25" spans="1:12" ht="15.75" customHeight="1">
      <c r="A25" s="111" t="s">
        <v>158</v>
      </c>
      <c r="B25" s="262">
        <v>4</v>
      </c>
      <c r="C25" s="68">
        <v>2</v>
      </c>
      <c r="D25" s="68">
        <v>0</v>
      </c>
      <c r="E25" s="68">
        <v>0</v>
      </c>
      <c r="F25" s="68">
        <v>1</v>
      </c>
      <c r="G25" s="68">
        <v>1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</row>
    <row r="26" spans="1:12" ht="15.75" customHeight="1">
      <c r="A26" s="111" t="s">
        <v>244</v>
      </c>
      <c r="B26" s="262">
        <v>13</v>
      </c>
      <c r="C26" s="68">
        <v>3</v>
      </c>
      <c r="D26" s="68">
        <v>0</v>
      </c>
      <c r="E26" s="68">
        <v>4</v>
      </c>
      <c r="F26" s="68">
        <v>1</v>
      </c>
      <c r="G26" s="68">
        <v>0</v>
      </c>
      <c r="H26" s="68">
        <v>1</v>
      </c>
      <c r="I26" s="68">
        <v>2</v>
      </c>
      <c r="J26" s="68">
        <v>0</v>
      </c>
      <c r="K26" s="68">
        <v>1</v>
      </c>
      <c r="L26" s="68">
        <v>1</v>
      </c>
    </row>
    <row r="27" spans="1:12" ht="15.75" customHeight="1">
      <c r="A27" s="111" t="s">
        <v>247</v>
      </c>
      <c r="B27" s="262">
        <v>6</v>
      </c>
      <c r="C27" s="68">
        <v>1</v>
      </c>
      <c r="D27" s="68">
        <v>0</v>
      </c>
      <c r="E27" s="68">
        <v>0</v>
      </c>
      <c r="F27" s="68">
        <v>2</v>
      </c>
      <c r="G27" s="68">
        <v>2</v>
      </c>
      <c r="H27" s="68">
        <v>0</v>
      </c>
      <c r="I27" s="68">
        <v>0</v>
      </c>
      <c r="J27" s="68">
        <v>0</v>
      </c>
      <c r="K27" s="68">
        <v>1</v>
      </c>
      <c r="L27" s="68">
        <v>0</v>
      </c>
    </row>
    <row r="28" spans="1:12" ht="15.75" customHeight="1">
      <c r="A28" s="111" t="s">
        <v>164</v>
      </c>
      <c r="B28" s="262">
        <v>2</v>
      </c>
      <c r="C28" s="68">
        <v>2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</row>
    <row r="29" spans="1:12" ht="15.75" customHeight="1">
      <c r="A29" s="111" t="s">
        <v>160</v>
      </c>
      <c r="B29" s="262">
        <v>8</v>
      </c>
      <c r="C29" s="68">
        <v>3</v>
      </c>
      <c r="D29" s="68">
        <v>1</v>
      </c>
      <c r="E29" s="68">
        <v>4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</row>
    <row r="30" spans="1:12" ht="15.75" customHeight="1">
      <c r="A30" s="111" t="s">
        <v>249</v>
      </c>
      <c r="B30" s="262">
        <v>7</v>
      </c>
      <c r="C30" s="68">
        <v>2</v>
      </c>
      <c r="D30" s="68">
        <v>3</v>
      </c>
      <c r="E30" s="68">
        <v>0</v>
      </c>
      <c r="F30" s="68">
        <v>0</v>
      </c>
      <c r="G30" s="68">
        <v>1</v>
      </c>
      <c r="H30" s="68">
        <v>0</v>
      </c>
      <c r="I30" s="68">
        <v>1</v>
      </c>
      <c r="J30" s="68">
        <v>0</v>
      </c>
      <c r="K30" s="68">
        <v>0</v>
      </c>
      <c r="L30" s="68">
        <v>0</v>
      </c>
    </row>
    <row r="31" spans="1:12" ht="15.75" customHeight="1">
      <c r="A31" s="123" t="s">
        <v>193</v>
      </c>
      <c r="B31" s="262">
        <v>5</v>
      </c>
      <c r="C31" s="68">
        <v>1</v>
      </c>
      <c r="D31" s="68">
        <v>1</v>
      </c>
      <c r="E31" s="68">
        <v>0</v>
      </c>
      <c r="F31" s="68">
        <v>1</v>
      </c>
      <c r="G31" s="68">
        <v>1</v>
      </c>
      <c r="H31" s="68">
        <v>1</v>
      </c>
      <c r="I31" s="68">
        <v>0</v>
      </c>
      <c r="J31" s="68">
        <v>0</v>
      </c>
      <c r="K31" s="68">
        <v>0</v>
      </c>
      <c r="L31" s="68">
        <v>0</v>
      </c>
    </row>
    <row r="32" spans="1:12" ht="15.75" customHeight="1">
      <c r="A32" s="113" t="s">
        <v>276</v>
      </c>
      <c r="B32" s="261">
        <v>54</v>
      </c>
      <c r="C32" s="98">
        <v>22</v>
      </c>
      <c r="D32" s="98">
        <v>2</v>
      </c>
      <c r="E32" s="98">
        <v>4</v>
      </c>
      <c r="F32" s="98">
        <v>3</v>
      </c>
      <c r="G32" s="98">
        <v>8</v>
      </c>
      <c r="H32" s="98">
        <v>3</v>
      </c>
      <c r="I32" s="98">
        <v>1</v>
      </c>
      <c r="J32" s="98">
        <v>4</v>
      </c>
      <c r="K32" s="98">
        <v>7</v>
      </c>
      <c r="L32" s="98">
        <v>0</v>
      </c>
    </row>
    <row r="33" spans="1:12" ht="15.75" customHeight="1">
      <c r="A33" s="111" t="s">
        <v>309</v>
      </c>
      <c r="B33" s="262">
        <v>3</v>
      </c>
      <c r="C33" s="68">
        <v>2</v>
      </c>
      <c r="D33" s="68">
        <v>0</v>
      </c>
      <c r="E33" s="68">
        <v>0</v>
      </c>
      <c r="F33" s="68">
        <v>0</v>
      </c>
      <c r="G33" s="68">
        <v>1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</row>
    <row r="34" spans="1:12" ht="15.75" customHeight="1">
      <c r="A34" s="111" t="s">
        <v>236</v>
      </c>
      <c r="B34" s="262">
        <v>1</v>
      </c>
      <c r="C34" s="68">
        <v>1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</row>
    <row r="35" spans="1:12" ht="15.75" customHeight="1">
      <c r="A35" s="111" t="s">
        <v>240</v>
      </c>
      <c r="B35" s="262">
        <v>9</v>
      </c>
      <c r="C35" s="68">
        <v>8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1</v>
      </c>
      <c r="J35" s="68">
        <v>0</v>
      </c>
      <c r="K35" s="68">
        <v>0</v>
      </c>
      <c r="L35" s="68">
        <v>0</v>
      </c>
    </row>
    <row r="36" spans="1:12" ht="15.75" customHeight="1">
      <c r="A36" s="111" t="s">
        <v>163</v>
      </c>
      <c r="B36" s="262">
        <v>2</v>
      </c>
      <c r="C36" s="68">
        <v>1</v>
      </c>
      <c r="D36" s="68">
        <v>0</v>
      </c>
      <c r="E36" s="68">
        <v>1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</row>
    <row r="37" spans="1:12" ht="15.75" customHeight="1">
      <c r="A37" s="111" t="s">
        <v>187</v>
      </c>
      <c r="B37" s="262">
        <v>10</v>
      </c>
      <c r="C37" s="68">
        <v>7</v>
      </c>
      <c r="D37" s="68">
        <v>0</v>
      </c>
      <c r="E37" s="68">
        <v>1</v>
      </c>
      <c r="F37" s="68">
        <v>0</v>
      </c>
      <c r="G37" s="68">
        <v>1</v>
      </c>
      <c r="H37" s="68">
        <v>0</v>
      </c>
      <c r="I37" s="68">
        <v>0</v>
      </c>
      <c r="J37" s="68">
        <v>1</v>
      </c>
      <c r="K37" s="68">
        <v>0</v>
      </c>
      <c r="L37" s="68">
        <v>0</v>
      </c>
    </row>
    <row r="38" spans="1:12" ht="15.75" customHeight="1">
      <c r="A38" s="111" t="s">
        <v>245</v>
      </c>
      <c r="B38" s="262">
        <v>2</v>
      </c>
      <c r="C38" s="68">
        <v>1</v>
      </c>
      <c r="D38" s="68">
        <v>0</v>
      </c>
      <c r="E38" s="68">
        <v>0</v>
      </c>
      <c r="F38" s="68">
        <v>0</v>
      </c>
      <c r="G38" s="68">
        <v>1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</row>
    <row r="39" spans="1:12" ht="15.75" customHeight="1">
      <c r="A39" s="123" t="s">
        <v>165</v>
      </c>
      <c r="B39" s="262">
        <v>3</v>
      </c>
      <c r="C39" s="68">
        <v>1</v>
      </c>
      <c r="D39" s="68">
        <v>0</v>
      </c>
      <c r="E39" s="68">
        <v>1</v>
      </c>
      <c r="F39" s="68">
        <v>0</v>
      </c>
      <c r="G39" s="68">
        <v>1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</row>
    <row r="40" spans="1:12" ht="15.75" customHeight="1">
      <c r="A40" s="111" t="s">
        <v>192</v>
      </c>
      <c r="B40" s="262">
        <v>24</v>
      </c>
      <c r="C40" s="68">
        <v>1</v>
      </c>
      <c r="D40" s="68">
        <v>2</v>
      </c>
      <c r="E40" s="68">
        <v>1</v>
      </c>
      <c r="F40" s="68">
        <v>3</v>
      </c>
      <c r="G40" s="68">
        <v>4</v>
      </c>
      <c r="H40" s="68">
        <v>3</v>
      </c>
      <c r="I40" s="68">
        <v>0</v>
      </c>
      <c r="J40" s="68">
        <v>3</v>
      </c>
      <c r="K40" s="68">
        <v>7</v>
      </c>
      <c r="L40" s="68">
        <v>0</v>
      </c>
    </row>
    <row r="41" spans="1:12" ht="15.75" customHeight="1">
      <c r="A41" s="113" t="s">
        <v>277</v>
      </c>
      <c r="B41" s="261">
        <v>9</v>
      </c>
      <c r="C41" s="98">
        <v>5</v>
      </c>
      <c r="D41" s="98">
        <v>1</v>
      </c>
      <c r="E41" s="98">
        <v>0</v>
      </c>
      <c r="F41" s="98">
        <v>0</v>
      </c>
      <c r="G41" s="98">
        <v>0</v>
      </c>
      <c r="H41" s="98">
        <v>2</v>
      </c>
      <c r="I41" s="98">
        <v>1</v>
      </c>
      <c r="J41" s="98">
        <v>0</v>
      </c>
      <c r="K41" s="98">
        <v>0</v>
      </c>
      <c r="L41" s="98">
        <v>0</v>
      </c>
    </row>
    <row r="42" spans="1:12" ht="15.75" customHeight="1">
      <c r="A42" s="111" t="s">
        <v>168</v>
      </c>
      <c r="B42" s="262">
        <v>1</v>
      </c>
      <c r="C42" s="68">
        <v>1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</row>
    <row r="43" spans="1:12" ht="15.75" customHeight="1">
      <c r="A43" s="111" t="s">
        <v>431</v>
      </c>
      <c r="B43" s="262">
        <v>1</v>
      </c>
      <c r="C43" s="68">
        <v>0</v>
      </c>
      <c r="D43" s="68">
        <v>1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</row>
    <row r="44" spans="1:12" ht="15.75" customHeight="1">
      <c r="A44" s="111" t="s">
        <v>182</v>
      </c>
      <c r="B44" s="262">
        <v>2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1</v>
      </c>
      <c r="I44" s="68">
        <v>1</v>
      </c>
      <c r="J44" s="68">
        <v>0</v>
      </c>
      <c r="K44" s="68">
        <v>0</v>
      </c>
      <c r="L44" s="68">
        <v>0</v>
      </c>
    </row>
    <row r="45" spans="1:12" ht="15.75" customHeight="1">
      <c r="A45" s="111" t="s">
        <v>532</v>
      </c>
      <c r="B45" s="262">
        <v>1</v>
      </c>
      <c r="C45" s="68">
        <v>1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</row>
    <row r="46" spans="1:12" ht="15.75" customHeight="1">
      <c r="A46" s="111" t="s">
        <v>533</v>
      </c>
      <c r="B46" s="262">
        <v>1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1</v>
      </c>
      <c r="I46" s="68">
        <v>0</v>
      </c>
      <c r="J46" s="68">
        <v>0</v>
      </c>
      <c r="K46" s="68">
        <v>0</v>
      </c>
      <c r="L46" s="68">
        <v>0</v>
      </c>
    </row>
    <row r="47" spans="1:12" ht="15.75" customHeight="1">
      <c r="A47" s="123" t="s">
        <v>246</v>
      </c>
      <c r="B47" s="262">
        <v>1</v>
      </c>
      <c r="C47" s="68">
        <v>1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</row>
    <row r="48" spans="1:12" ht="15.75" customHeight="1">
      <c r="A48" s="111" t="s">
        <v>191</v>
      </c>
      <c r="B48" s="262">
        <v>2</v>
      </c>
      <c r="C48" s="68">
        <v>2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</row>
    <row r="49" spans="1:12" ht="15.75" customHeight="1">
      <c r="A49" s="113" t="s">
        <v>278</v>
      </c>
      <c r="B49" s="261">
        <v>33</v>
      </c>
      <c r="C49" s="98">
        <v>12</v>
      </c>
      <c r="D49" s="98">
        <v>4</v>
      </c>
      <c r="E49" s="98">
        <v>1</v>
      </c>
      <c r="F49" s="98">
        <v>0</v>
      </c>
      <c r="G49" s="98">
        <v>7</v>
      </c>
      <c r="H49" s="98">
        <v>2</v>
      </c>
      <c r="I49" s="98">
        <v>2</v>
      </c>
      <c r="J49" s="98">
        <v>1</v>
      </c>
      <c r="K49" s="98">
        <v>3</v>
      </c>
      <c r="L49" s="98">
        <v>1</v>
      </c>
    </row>
    <row r="50" spans="1:12" ht="15.75" customHeight="1">
      <c r="A50" s="111" t="s">
        <v>172</v>
      </c>
      <c r="B50" s="262">
        <v>14</v>
      </c>
      <c r="C50" s="68">
        <v>2</v>
      </c>
      <c r="D50" s="68">
        <v>3</v>
      </c>
      <c r="E50" s="68">
        <v>1</v>
      </c>
      <c r="F50" s="68">
        <v>0</v>
      </c>
      <c r="G50" s="68">
        <v>2</v>
      </c>
      <c r="H50" s="68">
        <v>1</v>
      </c>
      <c r="I50" s="68">
        <v>1</v>
      </c>
      <c r="J50" s="68">
        <v>0</v>
      </c>
      <c r="K50" s="68">
        <v>3</v>
      </c>
      <c r="L50" s="68">
        <v>1</v>
      </c>
    </row>
    <row r="51" spans="1:12" ht="15.75" customHeight="1">
      <c r="A51" s="111" t="s">
        <v>175</v>
      </c>
      <c r="B51" s="262">
        <v>2</v>
      </c>
      <c r="C51" s="68">
        <v>1</v>
      </c>
      <c r="D51" s="68">
        <v>0</v>
      </c>
      <c r="E51" s="68">
        <v>0</v>
      </c>
      <c r="F51" s="68">
        <v>0</v>
      </c>
      <c r="G51" s="68">
        <v>1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</row>
    <row r="52" spans="1:12" ht="15.75" customHeight="1">
      <c r="A52" s="111" t="s">
        <v>322</v>
      </c>
      <c r="B52" s="262">
        <v>2</v>
      </c>
      <c r="C52" s="68">
        <v>2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</row>
    <row r="53" spans="1:12" ht="15.75" customHeight="1">
      <c r="A53" s="111" t="s">
        <v>179</v>
      </c>
      <c r="B53" s="262">
        <v>1</v>
      </c>
      <c r="C53" s="68">
        <v>1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</row>
    <row r="54" spans="1:12" ht="15.75" customHeight="1">
      <c r="A54" s="111" t="s">
        <v>242</v>
      </c>
      <c r="B54" s="262">
        <v>7</v>
      </c>
      <c r="C54" s="68">
        <v>4</v>
      </c>
      <c r="D54" s="68">
        <v>1</v>
      </c>
      <c r="E54" s="68">
        <v>0</v>
      </c>
      <c r="F54" s="68">
        <v>0</v>
      </c>
      <c r="G54" s="68">
        <v>1</v>
      </c>
      <c r="H54" s="68">
        <v>0</v>
      </c>
      <c r="I54" s="68">
        <v>1</v>
      </c>
      <c r="J54" s="68">
        <v>0</v>
      </c>
      <c r="K54" s="68">
        <v>0</v>
      </c>
      <c r="L54" s="68">
        <v>0</v>
      </c>
    </row>
    <row r="55" spans="1:12" ht="15.75" customHeight="1">
      <c r="A55" s="123" t="s">
        <v>184</v>
      </c>
      <c r="B55" s="262">
        <v>2</v>
      </c>
      <c r="C55" s="68">
        <v>1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1</v>
      </c>
      <c r="K55" s="68">
        <v>0</v>
      </c>
      <c r="L55" s="68">
        <v>0</v>
      </c>
    </row>
    <row r="56" spans="1:12" ht="15.75" customHeight="1">
      <c r="A56" s="111" t="s">
        <v>194</v>
      </c>
      <c r="B56" s="262">
        <v>5</v>
      </c>
      <c r="C56" s="68">
        <v>1</v>
      </c>
      <c r="D56" s="68">
        <v>0</v>
      </c>
      <c r="E56" s="68">
        <v>0</v>
      </c>
      <c r="F56" s="68">
        <v>0</v>
      </c>
      <c r="G56" s="68">
        <v>3</v>
      </c>
      <c r="H56" s="68">
        <v>1</v>
      </c>
      <c r="I56" s="68">
        <v>0</v>
      </c>
      <c r="J56" s="68">
        <v>0</v>
      </c>
      <c r="K56" s="68">
        <v>0</v>
      </c>
      <c r="L56" s="68">
        <v>0</v>
      </c>
    </row>
    <row r="57" spans="1:12" ht="15.75" customHeight="1">
      <c r="A57" s="113" t="s">
        <v>279</v>
      </c>
      <c r="B57" s="261">
        <v>36</v>
      </c>
      <c r="C57" s="98">
        <v>18</v>
      </c>
      <c r="D57" s="98">
        <v>11</v>
      </c>
      <c r="E57" s="98">
        <v>0</v>
      </c>
      <c r="F57" s="98">
        <v>1</v>
      </c>
      <c r="G57" s="98">
        <v>2</v>
      </c>
      <c r="H57" s="98">
        <v>1</v>
      </c>
      <c r="I57" s="98">
        <v>2</v>
      </c>
      <c r="J57" s="98">
        <v>0</v>
      </c>
      <c r="K57" s="98">
        <v>1</v>
      </c>
      <c r="L57" s="98">
        <v>0</v>
      </c>
    </row>
    <row r="58" spans="1:12" ht="15.75" customHeight="1">
      <c r="A58" s="111" t="s">
        <v>281</v>
      </c>
      <c r="B58" s="262">
        <v>5</v>
      </c>
      <c r="C58" s="68">
        <v>2</v>
      </c>
      <c r="D58" s="68">
        <v>0</v>
      </c>
      <c r="E58" s="68">
        <v>0</v>
      </c>
      <c r="F58" s="68">
        <v>0</v>
      </c>
      <c r="G58" s="68">
        <v>2</v>
      </c>
      <c r="H58" s="68">
        <v>0</v>
      </c>
      <c r="I58" s="68">
        <v>0</v>
      </c>
      <c r="J58" s="68">
        <v>0</v>
      </c>
      <c r="K58" s="68">
        <v>1</v>
      </c>
      <c r="L58" s="68">
        <v>0</v>
      </c>
    </row>
    <row r="59" spans="1:12" ht="15.75" customHeight="1">
      <c r="A59" s="111" t="s">
        <v>325</v>
      </c>
      <c r="B59" s="262">
        <v>2</v>
      </c>
      <c r="C59" s="68">
        <v>2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</row>
    <row r="60" spans="1:12" ht="15.75" customHeight="1">
      <c r="A60" s="111" t="s">
        <v>176</v>
      </c>
      <c r="B60" s="262">
        <v>13</v>
      </c>
      <c r="C60" s="68">
        <v>7</v>
      </c>
      <c r="D60" s="68">
        <v>4</v>
      </c>
      <c r="E60" s="68">
        <v>0</v>
      </c>
      <c r="F60" s="68">
        <v>1</v>
      </c>
      <c r="G60" s="68">
        <v>0</v>
      </c>
      <c r="H60" s="68">
        <v>0</v>
      </c>
      <c r="I60" s="68">
        <v>1</v>
      </c>
      <c r="J60" s="68">
        <v>0</v>
      </c>
      <c r="K60" s="68">
        <v>0</v>
      </c>
      <c r="L60" s="68">
        <v>0</v>
      </c>
    </row>
    <row r="61" spans="1:12" ht="15.75" customHeight="1">
      <c r="A61" s="111" t="s">
        <v>177</v>
      </c>
      <c r="B61" s="262">
        <v>2</v>
      </c>
      <c r="C61" s="68">
        <v>1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1</v>
      </c>
      <c r="J61" s="68">
        <v>0</v>
      </c>
      <c r="K61" s="68">
        <v>0</v>
      </c>
      <c r="L61" s="68">
        <v>0</v>
      </c>
    </row>
    <row r="62" spans="1:12" ht="15.75" customHeight="1">
      <c r="A62" s="111" t="s">
        <v>65</v>
      </c>
      <c r="B62" s="262">
        <v>1</v>
      </c>
      <c r="C62" s="68">
        <v>1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</row>
    <row r="63" spans="1:12" ht="15.75" customHeight="1">
      <c r="A63" s="111" t="s">
        <v>178</v>
      </c>
      <c r="B63" s="262">
        <v>1</v>
      </c>
      <c r="C63" s="68">
        <v>1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</row>
    <row r="64" spans="1:12" ht="15.75" customHeight="1">
      <c r="A64" s="111" t="s">
        <v>326</v>
      </c>
      <c r="B64" s="262">
        <v>1</v>
      </c>
      <c r="C64" s="68">
        <v>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</row>
    <row r="65" spans="1:12" ht="15.75" customHeight="1">
      <c r="A65" s="111" t="s">
        <v>432</v>
      </c>
      <c r="B65" s="262">
        <v>1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1</v>
      </c>
      <c r="I65" s="68">
        <v>0</v>
      </c>
      <c r="J65" s="68">
        <v>0</v>
      </c>
      <c r="K65" s="68">
        <v>0</v>
      </c>
      <c r="L65" s="68">
        <v>0</v>
      </c>
    </row>
    <row r="66" spans="1:12" ht="15.75" customHeight="1">
      <c r="A66" s="111" t="s">
        <v>433</v>
      </c>
      <c r="B66" s="262">
        <v>1</v>
      </c>
      <c r="C66" s="68">
        <v>0</v>
      </c>
      <c r="D66" s="68">
        <v>1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</row>
    <row r="67" spans="1:12" ht="15.75" customHeight="1">
      <c r="A67" s="123" t="s">
        <v>34</v>
      </c>
      <c r="B67" s="262">
        <v>1</v>
      </c>
      <c r="C67" s="68">
        <v>1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</row>
    <row r="68" spans="1:12" ht="15.75" customHeight="1">
      <c r="A68" s="111" t="s">
        <v>185</v>
      </c>
      <c r="B68" s="262">
        <v>1</v>
      </c>
      <c r="C68" s="68">
        <v>0</v>
      </c>
      <c r="D68" s="68">
        <v>1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</row>
    <row r="69" spans="1:12" ht="15.75" customHeight="1">
      <c r="A69" s="111" t="s">
        <v>188</v>
      </c>
      <c r="B69" s="262">
        <v>1</v>
      </c>
      <c r="C69" s="68">
        <v>1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</row>
    <row r="70" spans="1:12" ht="15.75" customHeight="1">
      <c r="A70" s="111" t="s">
        <v>190</v>
      </c>
      <c r="B70" s="262">
        <v>5</v>
      </c>
      <c r="C70" s="68">
        <v>0</v>
      </c>
      <c r="D70" s="68">
        <v>5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</row>
    <row r="71" spans="1:12" ht="15.75" customHeight="1" thickBot="1">
      <c r="A71" s="122" t="s">
        <v>341</v>
      </c>
      <c r="B71" s="263">
        <v>1</v>
      </c>
      <c r="C71" s="83">
        <v>1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</row>
    <row r="72" spans="1:12" ht="15.75" customHeight="1">
      <c r="A72" s="391" t="s">
        <v>635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</row>
  </sheetData>
  <sheetProtection/>
  <mergeCells count="6">
    <mergeCell ref="A1:L1"/>
    <mergeCell ref="A2:L2"/>
    <mergeCell ref="A3:L3"/>
    <mergeCell ref="A4:L4"/>
    <mergeCell ref="C5:L5"/>
    <mergeCell ref="A72:L72"/>
  </mergeCells>
  <printOptions/>
  <pageMargins left="0.7" right="0.7" top="0.787401575" bottom="0.7874015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V75"/>
  <sheetViews>
    <sheetView zoomScale="85" zoomScaleNormal="85" zoomScalePageLayoutView="0" workbookViewId="0" topLeftCell="A1">
      <selection activeCell="X6" sqref="X6"/>
    </sheetView>
  </sheetViews>
  <sheetFormatPr defaultColWidth="11.421875" defaultRowHeight="12.75"/>
  <cols>
    <col min="1" max="1" width="54.7109375" style="41" customWidth="1"/>
    <col min="2" max="2" width="8.00390625" style="41" customWidth="1"/>
    <col min="3" max="3" width="9.57421875" style="41" bestFit="1" customWidth="1"/>
    <col min="4" max="4" width="14.421875" style="41" bestFit="1" customWidth="1"/>
    <col min="5" max="5" width="12.57421875" style="41" bestFit="1" customWidth="1"/>
    <col min="6" max="6" width="15.421875" style="41" bestFit="1" customWidth="1"/>
    <col min="7" max="7" width="18.28125" style="41" bestFit="1" customWidth="1"/>
    <col min="8" max="8" width="7.421875" style="41" bestFit="1" customWidth="1"/>
    <col min="9" max="9" width="10.00390625" style="41" bestFit="1" customWidth="1"/>
    <col min="10" max="10" width="13.8515625" style="41" customWidth="1"/>
    <col min="11" max="11" width="12.28125" style="41" bestFit="1" customWidth="1"/>
    <col min="12" max="12" width="10.00390625" style="41" bestFit="1" customWidth="1"/>
    <col min="13" max="13" width="11.8515625" style="41" bestFit="1" customWidth="1"/>
    <col min="14" max="14" width="9.8515625" style="41" bestFit="1" customWidth="1"/>
    <col min="15" max="15" width="8.8515625" style="41" bestFit="1" customWidth="1"/>
    <col min="16" max="16" width="13.8515625" style="41" bestFit="1" customWidth="1"/>
    <col min="17" max="17" width="9.421875" style="41" bestFit="1" customWidth="1"/>
    <col min="18" max="18" width="6.00390625" style="41" bestFit="1" customWidth="1"/>
    <col min="19" max="19" width="10.28125" style="41" bestFit="1" customWidth="1"/>
    <col min="20" max="20" width="7.421875" style="41" bestFit="1" customWidth="1"/>
    <col min="21" max="21" width="10.421875" style="41" bestFit="1" customWidth="1"/>
    <col min="22" max="22" width="8.8515625" style="41" bestFit="1" customWidth="1"/>
    <col min="23" max="16384" width="11.421875" style="41" customWidth="1"/>
  </cols>
  <sheetData>
    <row r="1" spans="1:22" ht="18">
      <c r="A1" s="397" t="s">
        <v>517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2" ht="15.75" customHeight="1">
      <c r="A2" s="423" t="s">
        <v>429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 ht="15.75" customHeight="1">
      <c r="A3" s="423" t="s">
        <v>528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5.75" customHeight="1" thickBot="1">
      <c r="A4" s="395" t="s">
        <v>641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</row>
    <row r="5" spans="1:22" ht="15.75" customHeight="1">
      <c r="A5" s="114"/>
      <c r="B5" s="363" t="s">
        <v>134</v>
      </c>
      <c r="C5" s="396" t="s">
        <v>427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59"/>
      <c r="V5" s="359"/>
    </row>
    <row r="6" spans="1:22" ht="15.75" customHeight="1">
      <c r="A6" s="114"/>
      <c r="B6" s="340"/>
      <c r="C6" s="258" t="s">
        <v>136</v>
      </c>
      <c r="D6" s="258" t="s">
        <v>148</v>
      </c>
      <c r="E6" s="258" t="s">
        <v>150</v>
      </c>
      <c r="F6" s="258" t="s">
        <v>151</v>
      </c>
      <c r="G6" s="258" t="s">
        <v>167</v>
      </c>
      <c r="H6" s="258" t="s">
        <v>153</v>
      </c>
      <c r="I6" s="258" t="s">
        <v>162</v>
      </c>
      <c r="J6" s="258" t="s">
        <v>155</v>
      </c>
      <c r="K6" s="258" t="s">
        <v>157</v>
      </c>
      <c r="L6" s="258" t="s">
        <v>158</v>
      </c>
      <c r="M6" s="258" t="s">
        <v>164</v>
      </c>
      <c r="N6" s="258" t="s">
        <v>160</v>
      </c>
      <c r="O6" s="258" t="s">
        <v>240</v>
      </c>
      <c r="P6" s="258" t="s">
        <v>163</v>
      </c>
      <c r="Q6" s="258" t="s">
        <v>245</v>
      </c>
      <c r="R6" s="258" t="s">
        <v>194</v>
      </c>
      <c r="S6" s="258" t="s">
        <v>172</v>
      </c>
      <c r="T6" s="258" t="s">
        <v>281</v>
      </c>
      <c r="U6" s="340" t="s">
        <v>190</v>
      </c>
      <c r="V6" s="340" t="s">
        <v>166</v>
      </c>
    </row>
    <row r="7" spans="1:22" ht="15.75" customHeight="1">
      <c r="A7" s="115" t="s">
        <v>134</v>
      </c>
      <c r="B7" s="261">
        <v>225</v>
      </c>
      <c r="C7" s="98">
        <v>7</v>
      </c>
      <c r="D7" s="98">
        <v>43</v>
      </c>
      <c r="E7" s="98">
        <v>5</v>
      </c>
      <c r="F7" s="98">
        <v>3</v>
      </c>
      <c r="G7" s="98">
        <v>2</v>
      </c>
      <c r="H7" s="98">
        <v>18</v>
      </c>
      <c r="I7" s="98">
        <v>1</v>
      </c>
      <c r="J7" s="98">
        <v>2</v>
      </c>
      <c r="K7" s="98">
        <v>28</v>
      </c>
      <c r="L7" s="98">
        <v>4</v>
      </c>
      <c r="M7" s="98">
        <v>1</v>
      </c>
      <c r="N7" s="98">
        <v>5</v>
      </c>
      <c r="O7" s="98">
        <v>3</v>
      </c>
      <c r="P7" s="98">
        <v>2</v>
      </c>
      <c r="Q7" s="98">
        <v>1</v>
      </c>
      <c r="R7" s="98">
        <v>5</v>
      </c>
      <c r="S7" s="98">
        <v>12</v>
      </c>
      <c r="T7" s="98">
        <v>3</v>
      </c>
      <c r="U7" s="98">
        <v>5</v>
      </c>
      <c r="V7" s="98">
        <v>75</v>
      </c>
    </row>
    <row r="8" spans="1:22" ht="15.75" customHeight="1">
      <c r="A8" s="115" t="s">
        <v>516</v>
      </c>
      <c r="B8" s="261">
        <v>225</v>
      </c>
      <c r="C8" s="98">
        <v>7</v>
      </c>
      <c r="D8" s="98">
        <v>43</v>
      </c>
      <c r="E8" s="98">
        <v>5</v>
      </c>
      <c r="F8" s="98">
        <v>3</v>
      </c>
      <c r="G8" s="98">
        <v>2</v>
      </c>
      <c r="H8" s="98">
        <v>18</v>
      </c>
      <c r="I8" s="98">
        <v>1</v>
      </c>
      <c r="J8" s="98">
        <v>2</v>
      </c>
      <c r="K8" s="98">
        <v>28</v>
      </c>
      <c r="L8" s="98">
        <v>4</v>
      </c>
      <c r="M8" s="98">
        <v>1</v>
      </c>
      <c r="N8" s="98">
        <v>5</v>
      </c>
      <c r="O8" s="98">
        <v>3</v>
      </c>
      <c r="P8" s="98">
        <v>2</v>
      </c>
      <c r="Q8" s="98">
        <v>1</v>
      </c>
      <c r="R8" s="98">
        <v>5</v>
      </c>
      <c r="S8" s="98">
        <v>12</v>
      </c>
      <c r="T8" s="98">
        <v>3</v>
      </c>
      <c r="U8" s="98">
        <v>5</v>
      </c>
      <c r="V8" s="98">
        <v>75</v>
      </c>
    </row>
    <row r="9" spans="1:22" ht="15.75" customHeight="1">
      <c r="A9" s="113" t="s">
        <v>364</v>
      </c>
      <c r="B9" s="261">
        <v>34</v>
      </c>
      <c r="C9" s="98">
        <v>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1</v>
      </c>
      <c r="R9" s="98">
        <v>0</v>
      </c>
      <c r="S9" s="98">
        <v>12</v>
      </c>
      <c r="T9" s="98">
        <v>0</v>
      </c>
      <c r="U9" s="98">
        <v>0</v>
      </c>
      <c r="V9" s="98">
        <v>19</v>
      </c>
    </row>
    <row r="10" spans="1:22" ht="15.75" customHeight="1">
      <c r="A10" s="111" t="s">
        <v>365</v>
      </c>
      <c r="B10" s="262">
        <v>34</v>
      </c>
      <c r="C10" s="68">
        <v>2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1</v>
      </c>
      <c r="R10" s="68">
        <v>0</v>
      </c>
      <c r="S10" s="68">
        <v>12</v>
      </c>
      <c r="T10" s="68">
        <v>0</v>
      </c>
      <c r="U10" s="68">
        <v>0</v>
      </c>
      <c r="V10" s="68">
        <v>19</v>
      </c>
    </row>
    <row r="11" spans="1:22" ht="15.75" customHeight="1">
      <c r="A11" s="111" t="s">
        <v>22</v>
      </c>
      <c r="B11" s="262">
        <v>5</v>
      </c>
      <c r="C11" s="68">
        <v>1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1</v>
      </c>
      <c r="R11" s="68">
        <v>0</v>
      </c>
      <c r="S11" s="68">
        <v>1</v>
      </c>
      <c r="T11" s="68">
        <v>0</v>
      </c>
      <c r="U11" s="68">
        <v>0</v>
      </c>
      <c r="V11" s="68">
        <v>2</v>
      </c>
    </row>
    <row r="12" spans="1:22" ht="15.75" customHeight="1">
      <c r="A12" s="111" t="s">
        <v>21</v>
      </c>
      <c r="B12" s="262">
        <v>29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11</v>
      </c>
      <c r="T12" s="68">
        <v>0</v>
      </c>
      <c r="U12" s="68">
        <v>0</v>
      </c>
      <c r="V12" s="68">
        <v>17</v>
      </c>
    </row>
    <row r="13" spans="1:22" ht="15.75" customHeight="1">
      <c r="A13" s="113" t="s">
        <v>366</v>
      </c>
      <c r="B13" s="261">
        <v>18</v>
      </c>
      <c r="C13" s="98">
        <v>1</v>
      </c>
      <c r="D13" s="98">
        <v>3</v>
      </c>
      <c r="E13" s="98">
        <v>0</v>
      </c>
      <c r="F13" s="98">
        <v>0</v>
      </c>
      <c r="G13" s="98">
        <v>0</v>
      </c>
      <c r="H13" s="98">
        <v>4</v>
      </c>
      <c r="I13" s="98">
        <v>0</v>
      </c>
      <c r="J13" s="98">
        <v>0</v>
      </c>
      <c r="K13" s="98">
        <v>1</v>
      </c>
      <c r="L13" s="98">
        <v>1</v>
      </c>
      <c r="M13" s="98">
        <v>0</v>
      </c>
      <c r="N13" s="98">
        <v>0</v>
      </c>
      <c r="O13" s="98">
        <v>0</v>
      </c>
      <c r="P13" s="98">
        <v>1</v>
      </c>
      <c r="Q13" s="98">
        <v>0</v>
      </c>
      <c r="R13" s="98">
        <v>3</v>
      </c>
      <c r="S13" s="98">
        <v>0</v>
      </c>
      <c r="T13" s="98">
        <v>0</v>
      </c>
      <c r="U13" s="98">
        <v>0</v>
      </c>
      <c r="V13" s="98">
        <v>4</v>
      </c>
    </row>
    <row r="14" spans="1:22" ht="15.75" customHeight="1">
      <c r="A14" s="111" t="s">
        <v>368</v>
      </c>
      <c r="B14" s="262">
        <v>3</v>
      </c>
      <c r="C14" s="68">
        <v>0</v>
      </c>
      <c r="D14" s="68">
        <v>2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1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</row>
    <row r="15" spans="1:22" ht="15.75" customHeight="1">
      <c r="A15" s="111" t="s">
        <v>22</v>
      </c>
      <c r="B15" s="262">
        <v>3</v>
      </c>
      <c r="C15" s="68">
        <v>0</v>
      </c>
      <c r="D15" s="68">
        <v>2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1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</row>
    <row r="16" spans="1:22" ht="15.75" customHeight="1">
      <c r="A16" s="111" t="s">
        <v>370</v>
      </c>
      <c r="B16" s="262">
        <v>1</v>
      </c>
      <c r="C16" s="68">
        <v>1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</row>
    <row r="17" spans="1:22" ht="15.75" customHeight="1">
      <c r="A17" s="111" t="s">
        <v>21</v>
      </c>
      <c r="B17" s="262">
        <v>1</v>
      </c>
      <c r="C17" s="68">
        <v>1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</row>
    <row r="18" spans="1:22" ht="15.75" customHeight="1">
      <c r="A18" s="111" t="s">
        <v>373</v>
      </c>
      <c r="B18" s="262">
        <v>1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1</v>
      </c>
    </row>
    <row r="19" spans="1:22" ht="15.75" customHeight="1">
      <c r="A19" s="111" t="s">
        <v>21</v>
      </c>
      <c r="B19" s="262">
        <v>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1</v>
      </c>
    </row>
    <row r="20" spans="1:22" ht="15.75" customHeight="1">
      <c r="A20" s="111" t="s">
        <v>376</v>
      </c>
      <c r="B20" s="262">
        <v>6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3</v>
      </c>
      <c r="S20" s="68">
        <v>0</v>
      </c>
      <c r="T20" s="68">
        <v>0</v>
      </c>
      <c r="U20" s="68">
        <v>0</v>
      </c>
      <c r="V20" s="68">
        <v>3</v>
      </c>
    </row>
    <row r="21" spans="1:22" ht="15.75" customHeight="1">
      <c r="A21" s="111" t="s">
        <v>22</v>
      </c>
      <c r="B21" s="262">
        <v>4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3</v>
      </c>
      <c r="S21" s="68">
        <v>0</v>
      </c>
      <c r="T21" s="68">
        <v>0</v>
      </c>
      <c r="U21" s="68">
        <v>0</v>
      </c>
      <c r="V21" s="68">
        <v>1</v>
      </c>
    </row>
    <row r="22" spans="1:22" ht="15.75" customHeight="1">
      <c r="A22" s="111" t="s">
        <v>21</v>
      </c>
      <c r="B22" s="262">
        <v>2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2</v>
      </c>
    </row>
    <row r="23" spans="1:22" ht="15.75" customHeight="1">
      <c r="A23" s="111" t="s">
        <v>378</v>
      </c>
      <c r="B23" s="262">
        <v>1</v>
      </c>
      <c r="C23" s="68">
        <v>0</v>
      </c>
      <c r="D23" s="68">
        <v>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</row>
    <row r="24" spans="1:22" ht="15.75" customHeight="1">
      <c r="A24" s="111" t="s">
        <v>22</v>
      </c>
      <c r="B24" s="262">
        <v>1</v>
      </c>
      <c r="C24" s="68">
        <v>0</v>
      </c>
      <c r="D24" s="68">
        <v>1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</row>
    <row r="25" spans="1:22" ht="15.75" customHeight="1">
      <c r="A25" s="111" t="s">
        <v>380</v>
      </c>
      <c r="B25" s="262">
        <v>6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4</v>
      </c>
      <c r="I25" s="68">
        <v>0</v>
      </c>
      <c r="J25" s="68">
        <v>0</v>
      </c>
      <c r="K25" s="68">
        <v>0</v>
      </c>
      <c r="L25" s="68">
        <v>1</v>
      </c>
      <c r="M25" s="68">
        <v>0</v>
      </c>
      <c r="N25" s="68">
        <v>0</v>
      </c>
      <c r="O25" s="68">
        <v>0</v>
      </c>
      <c r="P25" s="68">
        <v>1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</row>
    <row r="26" spans="1:22" ht="15.75" customHeight="1">
      <c r="A26" s="111" t="s">
        <v>21</v>
      </c>
      <c r="B26" s="262">
        <v>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4</v>
      </c>
      <c r="I26" s="68">
        <v>0</v>
      </c>
      <c r="J26" s="68">
        <v>0</v>
      </c>
      <c r="K26" s="68">
        <v>0</v>
      </c>
      <c r="L26" s="68">
        <v>1</v>
      </c>
      <c r="M26" s="68">
        <v>0</v>
      </c>
      <c r="N26" s="68">
        <v>0</v>
      </c>
      <c r="O26" s="68">
        <v>0</v>
      </c>
      <c r="P26" s="68">
        <v>1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</row>
    <row r="27" spans="1:22" ht="15.75" customHeight="1">
      <c r="A27" s="113" t="s">
        <v>381</v>
      </c>
      <c r="B27" s="261">
        <v>173</v>
      </c>
      <c r="C27" s="98">
        <v>4</v>
      </c>
      <c r="D27" s="98">
        <v>40</v>
      </c>
      <c r="E27" s="98">
        <v>5</v>
      </c>
      <c r="F27" s="98">
        <v>3</v>
      </c>
      <c r="G27" s="98">
        <v>2</v>
      </c>
      <c r="H27" s="98">
        <v>14</v>
      </c>
      <c r="I27" s="98">
        <v>1</v>
      </c>
      <c r="J27" s="98">
        <v>2</v>
      </c>
      <c r="K27" s="98">
        <v>27</v>
      </c>
      <c r="L27" s="98">
        <v>3</v>
      </c>
      <c r="M27" s="98">
        <v>1</v>
      </c>
      <c r="N27" s="98">
        <v>5</v>
      </c>
      <c r="O27" s="98">
        <v>3</v>
      </c>
      <c r="P27" s="98">
        <v>1</v>
      </c>
      <c r="Q27" s="98">
        <v>0</v>
      </c>
      <c r="R27" s="98">
        <v>2</v>
      </c>
      <c r="S27" s="98">
        <v>0</v>
      </c>
      <c r="T27" s="98">
        <v>3</v>
      </c>
      <c r="U27" s="98">
        <v>5</v>
      </c>
      <c r="V27" s="98">
        <v>52</v>
      </c>
    </row>
    <row r="28" spans="1:22" ht="15.75" customHeight="1">
      <c r="A28" s="111" t="s">
        <v>382</v>
      </c>
      <c r="B28" s="262">
        <v>13</v>
      </c>
      <c r="C28" s="68">
        <v>0</v>
      </c>
      <c r="D28" s="68">
        <v>5</v>
      </c>
      <c r="E28" s="68">
        <v>1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3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1</v>
      </c>
      <c r="U28" s="68">
        <v>0</v>
      </c>
      <c r="V28" s="68">
        <v>3</v>
      </c>
    </row>
    <row r="29" spans="1:22" ht="15.75" customHeight="1">
      <c r="A29" s="111" t="s">
        <v>22</v>
      </c>
      <c r="B29" s="262">
        <v>5</v>
      </c>
      <c r="C29" s="68">
        <v>0</v>
      </c>
      <c r="D29" s="68">
        <v>1</v>
      </c>
      <c r="E29" s="68">
        <v>1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1</v>
      </c>
      <c r="U29" s="68">
        <v>0</v>
      </c>
      <c r="V29" s="68">
        <v>2</v>
      </c>
    </row>
    <row r="30" spans="1:22" ht="15.75" customHeight="1">
      <c r="A30" s="111" t="s">
        <v>21</v>
      </c>
      <c r="B30" s="262">
        <v>8</v>
      </c>
      <c r="C30" s="68">
        <v>0</v>
      </c>
      <c r="D30" s="68">
        <v>4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3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1</v>
      </c>
    </row>
    <row r="31" spans="1:22" ht="15.75" customHeight="1">
      <c r="A31" s="111" t="s">
        <v>383</v>
      </c>
      <c r="B31" s="262">
        <v>3</v>
      </c>
      <c r="C31" s="68">
        <v>0</v>
      </c>
      <c r="D31" s="68">
        <v>1</v>
      </c>
      <c r="E31" s="68">
        <v>0</v>
      </c>
      <c r="F31" s="68">
        <v>1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1</v>
      </c>
    </row>
    <row r="32" spans="1:22" ht="15.75" customHeight="1">
      <c r="A32" s="111" t="s">
        <v>22</v>
      </c>
      <c r="B32" s="262">
        <v>2</v>
      </c>
      <c r="C32" s="68">
        <v>0</v>
      </c>
      <c r="D32" s="68">
        <v>0</v>
      </c>
      <c r="E32" s="68">
        <v>0</v>
      </c>
      <c r="F32" s="68">
        <v>1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1</v>
      </c>
    </row>
    <row r="33" spans="1:22" ht="15.75" customHeight="1">
      <c r="A33" s="111" t="s">
        <v>21</v>
      </c>
      <c r="B33" s="262">
        <v>1</v>
      </c>
      <c r="C33" s="68">
        <v>0</v>
      </c>
      <c r="D33" s="68">
        <v>1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</row>
    <row r="34" spans="1:22" ht="15.75" customHeight="1">
      <c r="A34" s="111" t="s">
        <v>384</v>
      </c>
      <c r="B34" s="262">
        <v>61</v>
      </c>
      <c r="C34" s="68">
        <v>0</v>
      </c>
      <c r="D34" s="68">
        <v>8</v>
      </c>
      <c r="E34" s="68">
        <v>3</v>
      </c>
      <c r="F34" s="68">
        <v>1</v>
      </c>
      <c r="G34" s="68">
        <v>0</v>
      </c>
      <c r="H34" s="68">
        <v>12</v>
      </c>
      <c r="I34" s="68">
        <v>0</v>
      </c>
      <c r="J34" s="68">
        <v>1</v>
      </c>
      <c r="K34" s="68">
        <v>7</v>
      </c>
      <c r="L34" s="68">
        <v>2</v>
      </c>
      <c r="M34" s="68">
        <v>0</v>
      </c>
      <c r="N34" s="68">
        <v>4</v>
      </c>
      <c r="O34" s="68">
        <v>2</v>
      </c>
      <c r="P34" s="68">
        <v>0</v>
      </c>
      <c r="Q34" s="68">
        <v>0</v>
      </c>
      <c r="R34" s="68">
        <v>0</v>
      </c>
      <c r="S34" s="68">
        <v>0</v>
      </c>
      <c r="T34" s="68">
        <v>1</v>
      </c>
      <c r="U34" s="68">
        <v>4</v>
      </c>
      <c r="V34" s="68">
        <v>16</v>
      </c>
    </row>
    <row r="35" spans="1:22" ht="15.75" customHeight="1">
      <c r="A35" s="111" t="s">
        <v>22</v>
      </c>
      <c r="B35" s="262">
        <v>31</v>
      </c>
      <c r="C35" s="68">
        <v>0</v>
      </c>
      <c r="D35" s="68">
        <v>3</v>
      </c>
      <c r="E35" s="68">
        <v>0</v>
      </c>
      <c r="F35" s="68">
        <v>1</v>
      </c>
      <c r="G35" s="68">
        <v>0</v>
      </c>
      <c r="H35" s="68">
        <v>2</v>
      </c>
      <c r="I35" s="68">
        <v>0</v>
      </c>
      <c r="J35" s="68">
        <v>1</v>
      </c>
      <c r="K35" s="68">
        <v>5</v>
      </c>
      <c r="L35" s="68">
        <v>1</v>
      </c>
      <c r="M35" s="68">
        <v>0</v>
      </c>
      <c r="N35" s="68">
        <v>4</v>
      </c>
      <c r="O35" s="68">
        <v>1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3</v>
      </c>
      <c r="V35" s="68">
        <v>10</v>
      </c>
    </row>
    <row r="36" spans="1:22" ht="15.75" customHeight="1">
      <c r="A36" s="111" t="s">
        <v>21</v>
      </c>
      <c r="B36" s="262">
        <v>30</v>
      </c>
      <c r="C36" s="68">
        <v>0</v>
      </c>
      <c r="D36" s="68">
        <v>5</v>
      </c>
      <c r="E36" s="68">
        <v>3</v>
      </c>
      <c r="F36" s="68">
        <v>0</v>
      </c>
      <c r="G36" s="68">
        <v>0</v>
      </c>
      <c r="H36" s="68">
        <v>10</v>
      </c>
      <c r="I36" s="68">
        <v>0</v>
      </c>
      <c r="J36" s="68">
        <v>0</v>
      </c>
      <c r="K36" s="68">
        <v>2</v>
      </c>
      <c r="L36" s="68">
        <v>1</v>
      </c>
      <c r="M36" s="68">
        <v>0</v>
      </c>
      <c r="N36" s="68">
        <v>0</v>
      </c>
      <c r="O36" s="68">
        <v>1</v>
      </c>
      <c r="P36" s="68">
        <v>0</v>
      </c>
      <c r="Q36" s="68">
        <v>0</v>
      </c>
      <c r="R36" s="68">
        <v>0</v>
      </c>
      <c r="S36" s="68">
        <v>0</v>
      </c>
      <c r="T36" s="68">
        <v>1</v>
      </c>
      <c r="U36" s="68">
        <v>1</v>
      </c>
      <c r="V36" s="68">
        <v>6</v>
      </c>
    </row>
    <row r="37" spans="1:22" ht="15.75" customHeight="1">
      <c r="A37" s="111" t="s">
        <v>386</v>
      </c>
      <c r="B37" s="262">
        <v>1</v>
      </c>
      <c r="C37" s="68">
        <v>0</v>
      </c>
      <c r="D37" s="68">
        <v>0</v>
      </c>
      <c r="E37" s="68">
        <v>0</v>
      </c>
      <c r="F37" s="68">
        <v>0</v>
      </c>
      <c r="G37" s="68">
        <v>1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</row>
    <row r="38" spans="1:22" ht="15.75" customHeight="1">
      <c r="A38" s="111" t="s">
        <v>22</v>
      </c>
      <c r="B38" s="262">
        <v>1</v>
      </c>
      <c r="C38" s="68">
        <v>0</v>
      </c>
      <c r="D38" s="68">
        <v>0</v>
      </c>
      <c r="E38" s="68">
        <v>0</v>
      </c>
      <c r="F38" s="68">
        <v>0</v>
      </c>
      <c r="G38" s="68">
        <v>1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</row>
    <row r="39" spans="1:22" ht="15.75" customHeight="1">
      <c r="A39" s="111" t="s">
        <v>387</v>
      </c>
      <c r="B39" s="262">
        <v>5</v>
      </c>
      <c r="C39" s="68">
        <v>0</v>
      </c>
      <c r="D39" s="68">
        <v>1</v>
      </c>
      <c r="E39" s="68">
        <v>0</v>
      </c>
      <c r="F39" s="68">
        <v>0</v>
      </c>
      <c r="G39" s="68">
        <v>1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3</v>
      </c>
    </row>
    <row r="40" spans="1:22" ht="15.75" customHeight="1">
      <c r="A40" s="111" t="s">
        <v>22</v>
      </c>
      <c r="B40" s="262">
        <v>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2</v>
      </c>
    </row>
    <row r="41" spans="1:22" ht="15.75" customHeight="1">
      <c r="A41" s="111" t="s">
        <v>21</v>
      </c>
      <c r="B41" s="262">
        <v>3</v>
      </c>
      <c r="C41" s="68">
        <v>0</v>
      </c>
      <c r="D41" s="68">
        <v>1</v>
      </c>
      <c r="E41" s="68">
        <v>0</v>
      </c>
      <c r="F41" s="68">
        <v>0</v>
      </c>
      <c r="G41" s="68">
        <v>1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1</v>
      </c>
    </row>
    <row r="42" spans="1:22" ht="15.75" customHeight="1">
      <c r="A42" s="111" t="s">
        <v>388</v>
      </c>
      <c r="B42" s="262">
        <v>9</v>
      </c>
      <c r="C42" s="68">
        <v>1</v>
      </c>
      <c r="D42" s="68">
        <v>5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1</v>
      </c>
      <c r="S42" s="68">
        <v>0</v>
      </c>
      <c r="T42" s="68">
        <v>0</v>
      </c>
      <c r="U42" s="68">
        <v>0</v>
      </c>
      <c r="V42" s="68">
        <v>2</v>
      </c>
    </row>
    <row r="43" spans="1:22" ht="15.75" customHeight="1">
      <c r="A43" s="111" t="s">
        <v>22</v>
      </c>
      <c r="B43" s="262">
        <v>2</v>
      </c>
      <c r="C43" s="68">
        <v>1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1</v>
      </c>
    </row>
    <row r="44" spans="1:22" ht="15.75" customHeight="1">
      <c r="A44" s="111" t="s">
        <v>21</v>
      </c>
      <c r="B44" s="262">
        <v>7</v>
      </c>
      <c r="C44" s="68">
        <v>0</v>
      </c>
      <c r="D44" s="68">
        <v>5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1</v>
      </c>
      <c r="S44" s="68">
        <v>0</v>
      </c>
      <c r="T44" s="68">
        <v>0</v>
      </c>
      <c r="U44" s="68">
        <v>0</v>
      </c>
      <c r="V44" s="68">
        <v>1</v>
      </c>
    </row>
    <row r="45" spans="1:22" ht="15.75" customHeight="1">
      <c r="A45" s="111" t="s">
        <v>389</v>
      </c>
      <c r="B45" s="262">
        <v>1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1</v>
      </c>
    </row>
    <row r="46" spans="1:22" ht="15.75" customHeight="1">
      <c r="A46" s="111" t="s">
        <v>22</v>
      </c>
      <c r="B46" s="262">
        <v>1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1</v>
      </c>
    </row>
    <row r="47" spans="1:22" ht="15.75" customHeight="1">
      <c r="A47" s="111" t="s">
        <v>391</v>
      </c>
      <c r="B47" s="262">
        <v>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1</v>
      </c>
    </row>
    <row r="48" spans="1:22" ht="15.75" customHeight="1">
      <c r="A48" s="111" t="s">
        <v>21</v>
      </c>
      <c r="B48" s="262">
        <v>1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1</v>
      </c>
    </row>
    <row r="49" spans="1:22" ht="15.75" customHeight="1">
      <c r="A49" s="111" t="s">
        <v>392</v>
      </c>
      <c r="B49" s="262">
        <v>5</v>
      </c>
      <c r="C49" s="68">
        <v>1</v>
      </c>
      <c r="D49" s="68">
        <v>2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2</v>
      </c>
    </row>
    <row r="50" spans="1:22" ht="15.75" customHeight="1">
      <c r="A50" s="111" t="s">
        <v>22</v>
      </c>
      <c r="B50" s="262">
        <v>3</v>
      </c>
      <c r="C50" s="68">
        <v>1</v>
      </c>
      <c r="D50" s="68">
        <v>2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</row>
    <row r="51" spans="1:22" ht="15.75" customHeight="1">
      <c r="A51" s="111" t="s">
        <v>21</v>
      </c>
      <c r="B51" s="262">
        <v>2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2</v>
      </c>
    </row>
    <row r="52" spans="1:22" ht="15.75" customHeight="1">
      <c r="A52" s="111" t="s">
        <v>393</v>
      </c>
      <c r="B52" s="262">
        <v>2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1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1</v>
      </c>
    </row>
    <row r="53" spans="1:22" ht="15.75" customHeight="1">
      <c r="A53" s="111" t="s">
        <v>22</v>
      </c>
      <c r="B53" s="262">
        <v>2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1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1</v>
      </c>
    </row>
    <row r="54" spans="1:22" ht="15.75" customHeight="1">
      <c r="A54" s="111" t="s">
        <v>394</v>
      </c>
      <c r="B54" s="262">
        <v>1</v>
      </c>
      <c r="C54" s="68">
        <v>0</v>
      </c>
      <c r="D54" s="68">
        <v>1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</row>
    <row r="55" spans="1:22" ht="15.75" customHeight="1">
      <c r="A55" s="111" t="s">
        <v>21</v>
      </c>
      <c r="B55" s="262">
        <v>1</v>
      </c>
      <c r="C55" s="68">
        <v>0</v>
      </c>
      <c r="D55" s="68">
        <v>1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</row>
    <row r="56" spans="1:22" ht="15.75" customHeight="1">
      <c r="A56" s="111" t="s">
        <v>395</v>
      </c>
      <c r="B56" s="262">
        <v>2</v>
      </c>
      <c r="C56" s="68">
        <v>1</v>
      </c>
      <c r="D56" s="68">
        <v>1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</row>
    <row r="57" spans="1:22" ht="15.75" customHeight="1">
      <c r="A57" s="111" t="s">
        <v>22</v>
      </c>
      <c r="B57" s="262">
        <v>1</v>
      </c>
      <c r="C57" s="68">
        <v>0</v>
      </c>
      <c r="D57" s="68">
        <v>1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</row>
    <row r="58" spans="1:22" ht="15.75" customHeight="1">
      <c r="A58" s="111" t="s">
        <v>21</v>
      </c>
      <c r="B58" s="262">
        <v>1</v>
      </c>
      <c r="C58" s="68">
        <v>1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</row>
    <row r="59" spans="1:22" ht="15.75" customHeight="1">
      <c r="A59" s="111" t="s">
        <v>396</v>
      </c>
      <c r="B59" s="262">
        <v>24</v>
      </c>
      <c r="C59" s="68">
        <v>1</v>
      </c>
      <c r="D59" s="68">
        <v>11</v>
      </c>
      <c r="E59" s="68">
        <v>1</v>
      </c>
      <c r="F59" s="68">
        <v>1</v>
      </c>
      <c r="G59" s="68">
        <v>0</v>
      </c>
      <c r="H59" s="68">
        <v>0</v>
      </c>
      <c r="I59" s="68">
        <v>1</v>
      </c>
      <c r="J59" s="68">
        <v>0</v>
      </c>
      <c r="K59" s="68">
        <v>2</v>
      </c>
      <c r="L59" s="68">
        <v>0</v>
      </c>
      <c r="M59" s="68">
        <v>0</v>
      </c>
      <c r="N59" s="68">
        <v>0</v>
      </c>
      <c r="O59" s="68">
        <v>1</v>
      </c>
      <c r="P59" s="68">
        <v>0</v>
      </c>
      <c r="Q59" s="68">
        <v>0</v>
      </c>
      <c r="R59" s="68">
        <v>1</v>
      </c>
      <c r="S59" s="68">
        <v>0</v>
      </c>
      <c r="T59" s="68">
        <v>1</v>
      </c>
      <c r="U59" s="68">
        <v>0</v>
      </c>
      <c r="V59" s="68">
        <v>4</v>
      </c>
    </row>
    <row r="60" spans="1:22" ht="15.75" customHeight="1">
      <c r="A60" s="111" t="s">
        <v>22</v>
      </c>
      <c r="B60" s="262">
        <v>10</v>
      </c>
      <c r="C60" s="68">
        <v>0</v>
      </c>
      <c r="D60" s="68">
        <v>6</v>
      </c>
      <c r="E60" s="68">
        <v>0</v>
      </c>
      <c r="F60" s="68">
        <v>0</v>
      </c>
      <c r="G60" s="68">
        <v>0</v>
      </c>
      <c r="H60" s="68">
        <v>0</v>
      </c>
      <c r="I60" s="68">
        <v>1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1</v>
      </c>
      <c r="S60" s="68">
        <v>0</v>
      </c>
      <c r="T60" s="68">
        <v>0</v>
      </c>
      <c r="U60" s="68">
        <v>0</v>
      </c>
      <c r="V60" s="68">
        <v>2</v>
      </c>
    </row>
    <row r="61" spans="1:22" ht="15.75" customHeight="1">
      <c r="A61" s="111" t="s">
        <v>21</v>
      </c>
      <c r="B61" s="262">
        <v>14</v>
      </c>
      <c r="C61" s="68">
        <v>1</v>
      </c>
      <c r="D61" s="68">
        <v>5</v>
      </c>
      <c r="E61" s="68">
        <v>1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2</v>
      </c>
      <c r="L61" s="68">
        <v>0</v>
      </c>
      <c r="M61" s="68">
        <v>0</v>
      </c>
      <c r="N61" s="68">
        <v>0</v>
      </c>
      <c r="O61" s="68">
        <v>1</v>
      </c>
      <c r="P61" s="68">
        <v>0</v>
      </c>
      <c r="Q61" s="68">
        <v>0</v>
      </c>
      <c r="R61" s="68">
        <v>0</v>
      </c>
      <c r="S61" s="68">
        <v>0</v>
      </c>
      <c r="T61" s="68">
        <v>1</v>
      </c>
      <c r="U61" s="68">
        <v>0</v>
      </c>
      <c r="V61" s="68">
        <v>2</v>
      </c>
    </row>
    <row r="62" spans="1:22" ht="15.75" customHeight="1">
      <c r="A62" s="111" t="s">
        <v>397</v>
      </c>
      <c r="B62" s="262">
        <v>2</v>
      </c>
      <c r="C62" s="68">
        <v>0</v>
      </c>
      <c r="D62" s="68">
        <v>1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1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</row>
    <row r="63" spans="1:22" ht="15.75" customHeight="1">
      <c r="A63" s="111" t="s">
        <v>22</v>
      </c>
      <c r="B63" s="262">
        <v>2</v>
      </c>
      <c r="C63" s="68">
        <v>0</v>
      </c>
      <c r="D63" s="68">
        <v>1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1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</row>
    <row r="64" spans="1:22" ht="15.75" customHeight="1">
      <c r="A64" s="111" t="s">
        <v>398</v>
      </c>
      <c r="B64" s="262">
        <v>3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1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2</v>
      </c>
    </row>
    <row r="65" spans="1:22" ht="15.75" customHeight="1">
      <c r="A65" s="111" t="s">
        <v>22</v>
      </c>
      <c r="B65" s="262">
        <v>2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2</v>
      </c>
    </row>
    <row r="66" spans="1:22" ht="15.75" customHeight="1">
      <c r="A66" s="111" t="s">
        <v>21</v>
      </c>
      <c r="B66" s="262">
        <v>1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1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</row>
    <row r="67" spans="1:22" ht="15.75" customHeight="1">
      <c r="A67" s="111" t="s">
        <v>399</v>
      </c>
      <c r="B67" s="262">
        <v>30</v>
      </c>
      <c r="C67" s="68">
        <v>0</v>
      </c>
      <c r="D67" s="68">
        <v>3</v>
      </c>
      <c r="E67" s="68">
        <v>0</v>
      </c>
      <c r="F67" s="68">
        <v>0</v>
      </c>
      <c r="G67" s="68">
        <v>0</v>
      </c>
      <c r="H67" s="68">
        <v>2</v>
      </c>
      <c r="I67" s="68">
        <v>0</v>
      </c>
      <c r="J67" s="68">
        <v>1</v>
      </c>
      <c r="K67" s="68">
        <v>12</v>
      </c>
      <c r="L67" s="68">
        <v>1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11</v>
      </c>
    </row>
    <row r="68" spans="1:22" ht="15.75" customHeight="1">
      <c r="A68" s="111" t="s">
        <v>22</v>
      </c>
      <c r="B68" s="262">
        <v>9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1</v>
      </c>
      <c r="I68" s="68">
        <v>0</v>
      </c>
      <c r="J68" s="68">
        <v>0</v>
      </c>
      <c r="K68" s="68">
        <v>1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7</v>
      </c>
    </row>
    <row r="69" spans="1:22" ht="15.75" customHeight="1">
      <c r="A69" s="111" t="s">
        <v>21</v>
      </c>
      <c r="B69" s="262">
        <v>21</v>
      </c>
      <c r="C69" s="68">
        <v>0</v>
      </c>
      <c r="D69" s="68">
        <v>3</v>
      </c>
      <c r="E69" s="68">
        <v>0</v>
      </c>
      <c r="F69" s="68">
        <v>0</v>
      </c>
      <c r="G69" s="68">
        <v>0</v>
      </c>
      <c r="H69" s="68">
        <v>1</v>
      </c>
      <c r="I69" s="68">
        <v>0</v>
      </c>
      <c r="J69" s="68">
        <v>1</v>
      </c>
      <c r="K69" s="68">
        <v>11</v>
      </c>
      <c r="L69" s="68">
        <v>1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4</v>
      </c>
    </row>
    <row r="70" spans="1:22" ht="15.75" customHeight="1">
      <c r="A70" s="111" t="s">
        <v>400</v>
      </c>
      <c r="B70" s="262">
        <v>3</v>
      </c>
      <c r="C70" s="68">
        <v>0</v>
      </c>
      <c r="D70" s="68">
        <v>1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1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1</v>
      </c>
      <c r="V70" s="68">
        <v>0</v>
      </c>
    </row>
    <row r="71" spans="1:22" ht="15.75" customHeight="1">
      <c r="A71" s="41" t="s">
        <v>22</v>
      </c>
      <c r="B71" s="262">
        <v>2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1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1</v>
      </c>
      <c r="V71" s="68">
        <v>0</v>
      </c>
    </row>
    <row r="72" spans="1:22" ht="15.75" customHeight="1">
      <c r="A72" s="41" t="s">
        <v>21</v>
      </c>
      <c r="B72" s="262">
        <v>1</v>
      </c>
      <c r="C72" s="68">
        <v>0</v>
      </c>
      <c r="D72" s="68">
        <v>1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</row>
    <row r="73" spans="1:22" ht="15.75" customHeight="1">
      <c r="A73" s="41" t="s">
        <v>401</v>
      </c>
      <c r="B73" s="262">
        <v>7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1</v>
      </c>
      <c r="L73" s="68">
        <v>0</v>
      </c>
      <c r="M73" s="68">
        <v>0</v>
      </c>
      <c r="N73" s="68">
        <v>1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5</v>
      </c>
    </row>
    <row r="74" spans="1:22" ht="15.75" customHeight="1" thickBot="1">
      <c r="A74" s="159" t="s">
        <v>22</v>
      </c>
      <c r="B74" s="263">
        <v>7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1</v>
      </c>
      <c r="L74" s="83">
        <v>0</v>
      </c>
      <c r="M74" s="83">
        <v>0</v>
      </c>
      <c r="N74" s="83">
        <v>1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5</v>
      </c>
    </row>
    <row r="75" spans="1:22" ht="15">
      <c r="A75" s="391" t="s">
        <v>635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</row>
  </sheetData>
  <sheetProtection/>
  <mergeCells count="6">
    <mergeCell ref="A4:V4"/>
    <mergeCell ref="C5:T5"/>
    <mergeCell ref="A1:V1"/>
    <mergeCell ref="A2:V2"/>
    <mergeCell ref="A3:V3"/>
    <mergeCell ref="A75:V75"/>
  </mergeCells>
  <printOptions/>
  <pageMargins left="0.7" right="0.7" top="0.787401575" bottom="0.7874015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8"/>
  <sheetViews>
    <sheetView zoomScale="85" zoomScaleNormal="85" zoomScalePageLayoutView="0" workbookViewId="0" topLeftCell="A1">
      <selection activeCell="K28" sqref="K28"/>
    </sheetView>
  </sheetViews>
  <sheetFormatPr defaultColWidth="11.421875" defaultRowHeight="12.75"/>
  <cols>
    <col min="1" max="1" width="40.140625" style="41" bestFit="1" customWidth="1"/>
    <col min="2" max="2" width="36.140625" style="41" bestFit="1" customWidth="1"/>
    <col min="3" max="3" width="11.28125" style="41" hidden="1" customWidth="1"/>
    <col min="4" max="4" width="6.28125" style="41" hidden="1" customWidth="1"/>
    <col min="5" max="16384" width="11.421875" style="41" customWidth="1"/>
  </cols>
  <sheetData>
    <row r="1" spans="1:10" ht="18" customHeight="1">
      <c r="A1" s="435" t="s">
        <v>623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6" ht="15">
      <c r="A2" s="423" t="s">
        <v>429</v>
      </c>
      <c r="B2" s="423"/>
      <c r="C2" s="423"/>
      <c r="D2" s="423"/>
      <c r="E2" s="423"/>
      <c r="F2" s="423"/>
    </row>
    <row r="3" spans="1:6" ht="15">
      <c r="A3" s="423" t="s">
        <v>528</v>
      </c>
      <c r="B3" s="423"/>
      <c r="C3" s="423"/>
      <c r="D3" s="423"/>
      <c r="E3" s="423"/>
      <c r="F3" s="423"/>
    </row>
    <row r="4" spans="1:6" ht="15.75" thickBot="1">
      <c r="A4" s="395" t="s">
        <v>642</v>
      </c>
      <c r="B4" s="395"/>
      <c r="C4" s="395"/>
      <c r="D4" s="395"/>
      <c r="E4" s="111"/>
      <c r="F4" s="111"/>
    </row>
    <row r="5" spans="1:2" ht="15" customHeight="1">
      <c r="A5" s="114"/>
      <c r="B5" s="328" t="s">
        <v>621</v>
      </c>
    </row>
    <row r="6" spans="1:2" ht="15.75">
      <c r="A6" s="115" t="s">
        <v>134</v>
      </c>
      <c r="B6" s="389">
        <v>36</v>
      </c>
    </row>
    <row r="7" spans="1:2" ht="15" customHeight="1">
      <c r="A7" s="115" t="s">
        <v>430</v>
      </c>
      <c r="B7" s="261">
        <v>27</v>
      </c>
    </row>
    <row r="8" spans="1:2" ht="15" customHeight="1">
      <c r="A8" s="113" t="s">
        <v>276</v>
      </c>
      <c r="B8" s="261">
        <v>5</v>
      </c>
    </row>
    <row r="9" spans="1:2" ht="15">
      <c r="A9" s="111" t="s">
        <v>245</v>
      </c>
      <c r="B9" s="262">
        <v>3</v>
      </c>
    </row>
    <row r="10" spans="1:2" ht="15">
      <c r="A10" s="111" t="s">
        <v>22</v>
      </c>
      <c r="B10" s="262">
        <v>1</v>
      </c>
    </row>
    <row r="11" spans="1:2" ht="15">
      <c r="A11" s="111" t="s">
        <v>21</v>
      </c>
      <c r="B11" s="262">
        <v>2</v>
      </c>
    </row>
    <row r="12" spans="1:2" ht="15">
      <c r="A12" s="111" t="s">
        <v>192</v>
      </c>
      <c r="B12" s="262">
        <v>2</v>
      </c>
    </row>
    <row r="13" spans="1:2" ht="15">
      <c r="A13" s="111" t="s">
        <v>21</v>
      </c>
      <c r="B13" s="262">
        <v>2</v>
      </c>
    </row>
    <row r="14" spans="1:2" ht="15" customHeight="1">
      <c r="A14" s="111" t="s">
        <v>277</v>
      </c>
      <c r="B14" s="262">
        <v>8</v>
      </c>
    </row>
    <row r="15" spans="1:2" ht="15">
      <c r="A15" s="111" t="s">
        <v>238</v>
      </c>
      <c r="B15" s="262">
        <v>1</v>
      </c>
    </row>
    <row r="16" spans="1:2" ht="15">
      <c r="A16" s="111" t="s">
        <v>21</v>
      </c>
      <c r="B16" s="262">
        <v>1</v>
      </c>
    </row>
    <row r="17" spans="1:2" ht="15">
      <c r="A17" s="111" t="s">
        <v>26</v>
      </c>
      <c r="B17" s="262">
        <v>3</v>
      </c>
    </row>
    <row r="18" spans="1:2" ht="15">
      <c r="A18" s="111" t="s">
        <v>22</v>
      </c>
      <c r="B18" s="262">
        <v>1</v>
      </c>
    </row>
    <row r="19" spans="1:2" ht="15">
      <c r="A19" s="111" t="s">
        <v>21</v>
      </c>
      <c r="B19" s="262">
        <v>2</v>
      </c>
    </row>
    <row r="20" spans="1:2" ht="15">
      <c r="A20" s="111" t="s">
        <v>1</v>
      </c>
      <c r="B20" s="262">
        <v>2</v>
      </c>
    </row>
    <row r="21" spans="1:2" ht="15">
      <c r="A21" s="111" t="s">
        <v>22</v>
      </c>
      <c r="B21" s="262">
        <v>1</v>
      </c>
    </row>
    <row r="22" spans="1:2" ht="15">
      <c r="A22" s="111" t="s">
        <v>21</v>
      </c>
      <c r="B22" s="262">
        <v>1</v>
      </c>
    </row>
    <row r="23" spans="1:2" ht="15">
      <c r="A23" s="111" t="s">
        <v>168</v>
      </c>
      <c r="B23" s="262">
        <v>2</v>
      </c>
    </row>
    <row r="24" spans="1:2" ht="15">
      <c r="A24" s="111" t="s">
        <v>21</v>
      </c>
      <c r="B24" s="262">
        <v>2</v>
      </c>
    </row>
    <row r="25" spans="1:2" ht="15">
      <c r="A25" s="111" t="s">
        <v>279</v>
      </c>
      <c r="B25" s="262">
        <v>13</v>
      </c>
    </row>
    <row r="26" spans="1:2" ht="15">
      <c r="A26" s="111" t="s">
        <v>301</v>
      </c>
      <c r="B26" s="262">
        <v>1</v>
      </c>
    </row>
    <row r="27" spans="1:2" ht="15">
      <c r="A27" s="111" t="s">
        <v>21</v>
      </c>
      <c r="B27" s="262">
        <v>1</v>
      </c>
    </row>
    <row r="28" spans="1:2" ht="15">
      <c r="A28" s="111" t="s">
        <v>281</v>
      </c>
      <c r="B28" s="262">
        <v>8</v>
      </c>
    </row>
    <row r="29" spans="1:2" ht="15">
      <c r="A29" s="111" t="s">
        <v>21</v>
      </c>
      <c r="B29" s="262">
        <v>8</v>
      </c>
    </row>
    <row r="30" spans="1:2" ht="15" customHeight="1">
      <c r="A30" s="111" t="s">
        <v>65</v>
      </c>
      <c r="B30" s="262">
        <v>3</v>
      </c>
    </row>
    <row r="31" spans="1:2" ht="15">
      <c r="A31" s="111" t="s">
        <v>22</v>
      </c>
      <c r="B31" s="262">
        <v>2</v>
      </c>
    </row>
    <row r="32" spans="1:2" ht="15">
      <c r="A32" s="111" t="s">
        <v>21</v>
      </c>
      <c r="B32" s="262">
        <v>1</v>
      </c>
    </row>
    <row r="33" spans="1:2" ht="15">
      <c r="A33" s="111" t="s">
        <v>183</v>
      </c>
      <c r="B33" s="262">
        <v>1</v>
      </c>
    </row>
    <row r="34" spans="1:2" ht="15">
      <c r="A34" s="111" t="s">
        <v>21</v>
      </c>
      <c r="B34" s="262">
        <v>1</v>
      </c>
    </row>
    <row r="35" spans="1:2" ht="15">
      <c r="A35" s="111" t="s">
        <v>434</v>
      </c>
      <c r="B35" s="262">
        <v>1</v>
      </c>
    </row>
    <row r="36" spans="1:2" ht="15">
      <c r="A36" s="111" t="s">
        <v>21</v>
      </c>
      <c r="B36" s="262">
        <v>1</v>
      </c>
    </row>
    <row r="37" spans="1:2" ht="15.75">
      <c r="A37" s="113" t="s">
        <v>195</v>
      </c>
      <c r="B37" s="261">
        <v>9</v>
      </c>
    </row>
    <row r="38" spans="1:2" ht="15" customHeight="1">
      <c r="A38" s="111" t="s">
        <v>276</v>
      </c>
      <c r="B38" s="261">
        <v>1</v>
      </c>
    </row>
    <row r="39" spans="1:2" ht="15">
      <c r="A39" s="111" t="s">
        <v>309</v>
      </c>
      <c r="B39" s="262">
        <v>1</v>
      </c>
    </row>
    <row r="40" spans="1:2" ht="15">
      <c r="A40" s="111" t="s">
        <v>21</v>
      </c>
      <c r="B40" s="262">
        <v>1</v>
      </c>
    </row>
    <row r="41" spans="1:2" ht="15.75">
      <c r="A41" s="113" t="s">
        <v>277</v>
      </c>
      <c r="B41" s="261">
        <v>3</v>
      </c>
    </row>
    <row r="42" spans="1:2" ht="15">
      <c r="A42" s="111" t="s">
        <v>251</v>
      </c>
      <c r="B42" s="262">
        <v>1</v>
      </c>
    </row>
    <row r="43" spans="1:2" ht="15">
      <c r="A43" s="111" t="s">
        <v>21</v>
      </c>
      <c r="B43" s="262">
        <v>1</v>
      </c>
    </row>
    <row r="44" spans="1:2" ht="15">
      <c r="A44" s="111" t="s">
        <v>1</v>
      </c>
      <c r="B44" s="262">
        <v>2</v>
      </c>
    </row>
    <row r="45" spans="1:2" ht="15">
      <c r="A45" s="111" t="s">
        <v>22</v>
      </c>
      <c r="B45" s="262">
        <v>2</v>
      </c>
    </row>
    <row r="46" spans="1:2" ht="15.75">
      <c r="A46" s="113" t="s">
        <v>279</v>
      </c>
      <c r="B46" s="261">
        <v>5</v>
      </c>
    </row>
    <row r="47" spans="1:2" ht="15">
      <c r="A47" s="111" t="s">
        <v>281</v>
      </c>
      <c r="B47" s="262">
        <v>1</v>
      </c>
    </row>
    <row r="48" spans="1:2" ht="15" customHeight="1">
      <c r="A48" s="111" t="s">
        <v>22</v>
      </c>
      <c r="B48" s="262">
        <v>1</v>
      </c>
    </row>
    <row r="49" spans="1:2" ht="15">
      <c r="A49" s="111" t="s">
        <v>65</v>
      </c>
      <c r="B49" s="262">
        <v>4</v>
      </c>
    </row>
    <row r="50" spans="1:2" ht="15" customHeight="1">
      <c r="A50" s="123" t="s">
        <v>22</v>
      </c>
      <c r="B50" s="262">
        <v>2</v>
      </c>
    </row>
    <row r="51" spans="1:2" ht="15.75" thickBot="1">
      <c r="A51" s="111" t="s">
        <v>21</v>
      </c>
      <c r="B51" s="262">
        <v>2</v>
      </c>
    </row>
    <row r="52" spans="1:4" ht="15">
      <c r="A52" s="391" t="s">
        <v>635</v>
      </c>
      <c r="B52" s="391"/>
      <c r="C52" s="391"/>
      <c r="D52" s="391"/>
    </row>
    <row r="53" spans="1:2" ht="15.75">
      <c r="A53" s="113"/>
      <c r="B53" s="68"/>
    </row>
    <row r="54" spans="1:2" ht="15.75">
      <c r="A54" s="113" t="s">
        <v>202</v>
      </c>
      <c r="B54" s="68"/>
    </row>
    <row r="55" spans="1:2" ht="15" customHeight="1">
      <c r="A55" s="111" t="s">
        <v>622</v>
      </c>
      <c r="B55" s="68"/>
    </row>
    <row r="56" spans="1:2" ht="15.75">
      <c r="A56" s="113"/>
      <c r="B56" s="68"/>
    </row>
    <row r="57" spans="1:2" ht="15.75">
      <c r="A57" s="113"/>
      <c r="B57" s="68"/>
    </row>
    <row r="58" spans="1:2" ht="15.75">
      <c r="A58" s="113"/>
      <c r="B58" s="68"/>
    </row>
  </sheetData>
  <sheetProtection/>
  <mergeCells count="5">
    <mergeCell ref="A2:F2"/>
    <mergeCell ref="A3:F3"/>
    <mergeCell ref="A1:J1"/>
    <mergeCell ref="A4:D4"/>
    <mergeCell ref="A52:D5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3"/>
  <sheetViews>
    <sheetView zoomScale="85" zoomScaleNormal="85" zoomScalePageLayoutView="0" workbookViewId="0" topLeftCell="A1">
      <selection activeCell="J43" sqref="J43"/>
    </sheetView>
  </sheetViews>
  <sheetFormatPr defaultColWidth="11.421875" defaultRowHeight="12.75"/>
  <cols>
    <col min="1" max="1" width="29.57421875" style="13" bestFit="1" customWidth="1"/>
    <col min="2" max="2" width="9.28125" style="13" bestFit="1" customWidth="1"/>
    <col min="3" max="3" width="7.8515625" style="13" bestFit="1" customWidth="1"/>
    <col min="4" max="4" width="9.28125" style="13" bestFit="1" customWidth="1"/>
    <col min="5" max="5" width="8.8515625" style="13" bestFit="1" customWidth="1"/>
    <col min="6" max="6" width="14.140625" style="13" bestFit="1" customWidth="1"/>
    <col min="7" max="7" width="9.28125" style="13" bestFit="1" customWidth="1"/>
    <col min="8" max="8" width="9.7109375" style="13" bestFit="1" customWidth="1"/>
    <col min="9" max="9" width="9.00390625" style="13" bestFit="1" customWidth="1"/>
    <col min="10" max="10" width="9.28125" style="13" bestFit="1" customWidth="1"/>
    <col min="11" max="11" width="10.28125" style="13" bestFit="1" customWidth="1"/>
    <col min="12" max="12" width="9.28125" style="13" bestFit="1" customWidth="1"/>
    <col min="13" max="13" width="15.140625" style="13" bestFit="1" customWidth="1"/>
    <col min="14" max="16384" width="11.421875" style="13" customWidth="1"/>
  </cols>
  <sheetData>
    <row r="1" spans="1:13" ht="18">
      <c r="A1" s="397" t="s">
        <v>231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5.75" customHeight="1">
      <c r="A2" s="394" t="s">
        <v>528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s="25" customFormat="1" ht="15.75" customHeight="1" thickBot="1">
      <c r="A3" s="395" t="s">
        <v>437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25" customFormat="1" ht="15.75" customHeight="1">
      <c r="A4" s="114"/>
      <c r="B4" s="328" t="s">
        <v>134</v>
      </c>
      <c r="C4" s="396" t="s">
        <v>122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s="25" customFormat="1" ht="15.75" customHeight="1">
      <c r="A5" s="114"/>
      <c r="B5" s="65"/>
      <c r="C5" s="258" t="s">
        <v>123</v>
      </c>
      <c r="D5" s="258" t="s">
        <v>124</v>
      </c>
      <c r="E5" s="258" t="s">
        <v>125</v>
      </c>
      <c r="F5" s="258" t="s">
        <v>126</v>
      </c>
      <c r="G5" s="258" t="s">
        <v>127</v>
      </c>
      <c r="H5" s="258" t="s">
        <v>128</v>
      </c>
      <c r="I5" s="258" t="s">
        <v>129</v>
      </c>
      <c r="J5" s="258" t="s">
        <v>130</v>
      </c>
      <c r="K5" s="258" t="s">
        <v>131</v>
      </c>
      <c r="L5" s="258" t="s">
        <v>132</v>
      </c>
      <c r="M5" s="258" t="s">
        <v>133</v>
      </c>
    </row>
    <row r="6" spans="1:13" s="25" customFormat="1" ht="15.75" customHeight="1">
      <c r="A6" s="93" t="s">
        <v>134</v>
      </c>
      <c r="B6" s="261">
        <v>38747</v>
      </c>
      <c r="C6" s="98">
        <v>5696</v>
      </c>
      <c r="D6" s="98">
        <v>5277</v>
      </c>
      <c r="E6" s="98">
        <v>4642</v>
      </c>
      <c r="F6" s="98">
        <v>2638</v>
      </c>
      <c r="G6" s="98">
        <v>6038</v>
      </c>
      <c r="H6" s="98">
        <v>473</v>
      </c>
      <c r="I6" s="98">
        <v>4465</v>
      </c>
      <c r="J6" s="98">
        <v>4399</v>
      </c>
      <c r="K6" s="98">
        <v>1690</v>
      </c>
      <c r="L6" s="98">
        <v>2322</v>
      </c>
      <c r="M6" s="98">
        <v>1107</v>
      </c>
    </row>
    <row r="7" spans="1:13" s="25" customFormat="1" ht="15.75" customHeight="1">
      <c r="A7" s="93" t="s">
        <v>74</v>
      </c>
      <c r="B7" s="261">
        <v>25485</v>
      </c>
      <c r="C7" s="98">
        <v>3264</v>
      </c>
      <c r="D7" s="98">
        <v>3323</v>
      </c>
      <c r="E7" s="98">
        <v>3393</v>
      </c>
      <c r="F7" s="98">
        <v>2077</v>
      </c>
      <c r="G7" s="98">
        <v>3750</v>
      </c>
      <c r="H7" s="98">
        <v>351</v>
      </c>
      <c r="I7" s="98">
        <v>2928</v>
      </c>
      <c r="J7" s="98">
        <v>2677</v>
      </c>
      <c r="K7" s="98">
        <v>1162</v>
      </c>
      <c r="L7" s="98">
        <v>1721</v>
      </c>
      <c r="M7" s="98">
        <v>839</v>
      </c>
    </row>
    <row r="8" spans="1:13" s="25" customFormat="1" ht="15.75" customHeight="1">
      <c r="A8" s="67" t="s">
        <v>22</v>
      </c>
      <c r="B8" s="262">
        <v>12905</v>
      </c>
      <c r="C8" s="68">
        <v>1642</v>
      </c>
      <c r="D8" s="68">
        <v>1709</v>
      </c>
      <c r="E8" s="68">
        <v>1734</v>
      </c>
      <c r="F8" s="68">
        <v>1040</v>
      </c>
      <c r="G8" s="68">
        <v>1934</v>
      </c>
      <c r="H8" s="68">
        <v>179</v>
      </c>
      <c r="I8" s="68">
        <v>1457</v>
      </c>
      <c r="J8" s="68">
        <v>1362</v>
      </c>
      <c r="K8" s="68">
        <v>561</v>
      </c>
      <c r="L8" s="68">
        <v>872</v>
      </c>
      <c r="M8" s="68">
        <v>415</v>
      </c>
    </row>
    <row r="9" spans="1:13" s="25" customFormat="1" ht="15.75" customHeight="1">
      <c r="A9" s="67" t="s">
        <v>140</v>
      </c>
      <c r="B9" s="262">
        <v>5678</v>
      </c>
      <c r="C9" s="68">
        <v>699</v>
      </c>
      <c r="D9" s="68">
        <v>746</v>
      </c>
      <c r="E9" s="68">
        <v>773</v>
      </c>
      <c r="F9" s="68">
        <v>426</v>
      </c>
      <c r="G9" s="68">
        <v>849</v>
      </c>
      <c r="H9" s="68">
        <v>76</v>
      </c>
      <c r="I9" s="68">
        <v>648</v>
      </c>
      <c r="J9" s="68">
        <v>609</v>
      </c>
      <c r="K9" s="68">
        <v>254</v>
      </c>
      <c r="L9" s="68">
        <v>400</v>
      </c>
      <c r="M9" s="68">
        <v>198</v>
      </c>
    </row>
    <row r="10" spans="1:13" s="25" customFormat="1" ht="15.75" customHeight="1">
      <c r="A10" s="67" t="s">
        <v>455</v>
      </c>
      <c r="B10" s="262">
        <v>4966</v>
      </c>
      <c r="C10" s="68">
        <v>563</v>
      </c>
      <c r="D10" s="68">
        <v>633</v>
      </c>
      <c r="E10" s="68">
        <v>678</v>
      </c>
      <c r="F10" s="68">
        <v>456</v>
      </c>
      <c r="G10" s="68">
        <v>721</v>
      </c>
      <c r="H10" s="68">
        <v>75</v>
      </c>
      <c r="I10" s="68">
        <v>566</v>
      </c>
      <c r="J10" s="68">
        <v>514</v>
      </c>
      <c r="K10" s="68">
        <v>223</v>
      </c>
      <c r="L10" s="68">
        <v>369</v>
      </c>
      <c r="M10" s="68">
        <v>168</v>
      </c>
    </row>
    <row r="11" spans="1:13" s="25" customFormat="1" ht="15.75" customHeight="1">
      <c r="A11" s="67" t="s">
        <v>456</v>
      </c>
      <c r="B11" s="262">
        <v>1094</v>
      </c>
      <c r="C11" s="68">
        <v>182</v>
      </c>
      <c r="D11" s="68">
        <v>145</v>
      </c>
      <c r="E11" s="68">
        <v>145</v>
      </c>
      <c r="F11" s="68">
        <v>88</v>
      </c>
      <c r="G11" s="68">
        <v>176</v>
      </c>
      <c r="H11" s="68">
        <v>15</v>
      </c>
      <c r="I11" s="68">
        <v>112</v>
      </c>
      <c r="J11" s="68">
        <v>117</v>
      </c>
      <c r="K11" s="68">
        <v>38</v>
      </c>
      <c r="L11" s="68">
        <v>51</v>
      </c>
      <c r="M11" s="68">
        <v>25</v>
      </c>
    </row>
    <row r="12" spans="1:13" s="25" customFormat="1" ht="15.75" customHeight="1">
      <c r="A12" s="67" t="s">
        <v>143</v>
      </c>
      <c r="B12" s="262">
        <v>17</v>
      </c>
      <c r="C12" s="68">
        <v>2</v>
      </c>
      <c r="D12" s="68">
        <v>3</v>
      </c>
      <c r="E12" s="68">
        <v>3</v>
      </c>
      <c r="F12" s="68">
        <v>2</v>
      </c>
      <c r="G12" s="68">
        <v>0</v>
      </c>
      <c r="H12" s="68">
        <v>0</v>
      </c>
      <c r="I12" s="68">
        <v>3</v>
      </c>
      <c r="J12" s="68">
        <v>3</v>
      </c>
      <c r="K12" s="68">
        <v>0</v>
      </c>
      <c r="L12" s="68">
        <v>1</v>
      </c>
      <c r="M12" s="68">
        <v>0</v>
      </c>
    </row>
    <row r="13" spans="1:13" s="25" customFormat="1" ht="15.75" customHeight="1">
      <c r="A13" s="67" t="s">
        <v>457</v>
      </c>
      <c r="B13" s="262">
        <v>1150</v>
      </c>
      <c r="C13" s="68">
        <v>196</v>
      </c>
      <c r="D13" s="68">
        <v>182</v>
      </c>
      <c r="E13" s="68">
        <v>135</v>
      </c>
      <c r="F13" s="68">
        <v>68</v>
      </c>
      <c r="G13" s="68">
        <v>188</v>
      </c>
      <c r="H13" s="68">
        <v>13</v>
      </c>
      <c r="I13" s="68">
        <v>128</v>
      </c>
      <c r="J13" s="68">
        <v>119</v>
      </c>
      <c r="K13" s="68">
        <v>46</v>
      </c>
      <c r="L13" s="68">
        <v>51</v>
      </c>
      <c r="M13" s="68">
        <v>24</v>
      </c>
    </row>
    <row r="14" spans="1:13" s="25" customFormat="1" ht="15.75" customHeight="1">
      <c r="A14" s="67" t="s">
        <v>21</v>
      </c>
      <c r="B14" s="262">
        <v>12580</v>
      </c>
      <c r="C14" s="68">
        <v>1622</v>
      </c>
      <c r="D14" s="68">
        <v>1614</v>
      </c>
      <c r="E14" s="68">
        <v>1659</v>
      </c>
      <c r="F14" s="68">
        <v>1037</v>
      </c>
      <c r="G14" s="68">
        <v>1816</v>
      </c>
      <c r="H14" s="68">
        <v>172</v>
      </c>
      <c r="I14" s="68">
        <v>1471</v>
      </c>
      <c r="J14" s="68">
        <v>1315</v>
      </c>
      <c r="K14" s="68">
        <v>601</v>
      </c>
      <c r="L14" s="68">
        <v>849</v>
      </c>
      <c r="M14" s="68">
        <v>424</v>
      </c>
    </row>
    <row r="15" spans="1:13" s="25" customFormat="1" ht="15.75" customHeight="1">
      <c r="A15" s="67" t="s">
        <v>140</v>
      </c>
      <c r="B15" s="262">
        <v>6428</v>
      </c>
      <c r="C15" s="68">
        <v>836</v>
      </c>
      <c r="D15" s="68">
        <v>825</v>
      </c>
      <c r="E15" s="68">
        <v>864</v>
      </c>
      <c r="F15" s="68">
        <v>497</v>
      </c>
      <c r="G15" s="68">
        <v>889</v>
      </c>
      <c r="H15" s="68">
        <v>84</v>
      </c>
      <c r="I15" s="68">
        <v>754</v>
      </c>
      <c r="J15" s="68">
        <v>705</v>
      </c>
      <c r="K15" s="68">
        <v>318</v>
      </c>
      <c r="L15" s="68">
        <v>449</v>
      </c>
      <c r="M15" s="68">
        <v>207</v>
      </c>
    </row>
    <row r="16" spans="1:13" s="25" customFormat="1" ht="15.75" customHeight="1">
      <c r="A16" s="67" t="s">
        <v>455</v>
      </c>
      <c r="B16" s="262">
        <v>5133</v>
      </c>
      <c r="C16" s="68">
        <v>623</v>
      </c>
      <c r="D16" s="68">
        <v>645</v>
      </c>
      <c r="E16" s="68">
        <v>665</v>
      </c>
      <c r="F16" s="68">
        <v>455</v>
      </c>
      <c r="G16" s="68">
        <v>765</v>
      </c>
      <c r="H16" s="68">
        <v>75</v>
      </c>
      <c r="I16" s="68">
        <v>612</v>
      </c>
      <c r="J16" s="68">
        <v>512</v>
      </c>
      <c r="K16" s="68">
        <v>235</v>
      </c>
      <c r="L16" s="68">
        <v>351</v>
      </c>
      <c r="M16" s="68">
        <v>195</v>
      </c>
    </row>
    <row r="17" spans="1:13" s="25" customFormat="1" ht="15.75" customHeight="1">
      <c r="A17" s="67" t="s">
        <v>456</v>
      </c>
      <c r="B17" s="262">
        <v>205</v>
      </c>
      <c r="C17" s="68">
        <v>25</v>
      </c>
      <c r="D17" s="68">
        <v>28</v>
      </c>
      <c r="E17" s="68">
        <v>32</v>
      </c>
      <c r="F17" s="68">
        <v>20</v>
      </c>
      <c r="G17" s="68">
        <v>35</v>
      </c>
      <c r="H17" s="68">
        <v>0</v>
      </c>
      <c r="I17" s="68">
        <v>23</v>
      </c>
      <c r="J17" s="68">
        <v>25</v>
      </c>
      <c r="K17" s="68">
        <v>8</v>
      </c>
      <c r="L17" s="68">
        <v>7</v>
      </c>
      <c r="M17" s="68">
        <v>2</v>
      </c>
    </row>
    <row r="18" spans="1:13" s="25" customFormat="1" ht="15.75" customHeight="1">
      <c r="A18" s="67" t="s">
        <v>143</v>
      </c>
      <c r="B18" s="262">
        <v>18</v>
      </c>
      <c r="C18" s="68">
        <v>3</v>
      </c>
      <c r="D18" s="68">
        <v>0</v>
      </c>
      <c r="E18" s="68">
        <v>2</v>
      </c>
      <c r="F18" s="68">
        <v>4</v>
      </c>
      <c r="G18" s="68">
        <v>2</v>
      </c>
      <c r="H18" s="68">
        <v>0</v>
      </c>
      <c r="I18" s="68">
        <v>3</v>
      </c>
      <c r="J18" s="68">
        <v>1</v>
      </c>
      <c r="K18" s="68">
        <v>0</v>
      </c>
      <c r="L18" s="68">
        <v>2</v>
      </c>
      <c r="M18" s="68">
        <v>1</v>
      </c>
    </row>
    <row r="19" spans="1:13" s="25" customFormat="1" ht="15.75" customHeight="1">
      <c r="A19" s="67" t="s">
        <v>457</v>
      </c>
      <c r="B19" s="262">
        <v>796</v>
      </c>
      <c r="C19" s="68">
        <v>135</v>
      </c>
      <c r="D19" s="68">
        <v>116</v>
      </c>
      <c r="E19" s="68">
        <v>96</v>
      </c>
      <c r="F19" s="68">
        <v>61</v>
      </c>
      <c r="G19" s="68">
        <v>125</v>
      </c>
      <c r="H19" s="68">
        <v>13</v>
      </c>
      <c r="I19" s="68">
        <v>79</v>
      </c>
      <c r="J19" s="68">
        <v>72</v>
      </c>
      <c r="K19" s="68">
        <v>40</v>
      </c>
      <c r="L19" s="68">
        <v>40</v>
      </c>
      <c r="M19" s="68">
        <v>19</v>
      </c>
    </row>
    <row r="20" spans="1:13" s="25" customFormat="1" ht="15.75" customHeight="1">
      <c r="A20" s="93" t="s">
        <v>76</v>
      </c>
      <c r="B20" s="261">
        <v>13262</v>
      </c>
      <c r="C20" s="98">
        <v>2432</v>
      </c>
      <c r="D20" s="98">
        <v>1954</v>
      </c>
      <c r="E20" s="98">
        <v>1249</v>
      </c>
      <c r="F20" s="98">
        <v>561</v>
      </c>
      <c r="G20" s="98">
        <v>2288</v>
      </c>
      <c r="H20" s="98">
        <v>122</v>
      </c>
      <c r="I20" s="98">
        <v>1537</v>
      </c>
      <c r="J20" s="98">
        <v>1722</v>
      </c>
      <c r="K20" s="98">
        <v>528</v>
      </c>
      <c r="L20" s="98">
        <v>601</v>
      </c>
      <c r="M20" s="98">
        <v>268</v>
      </c>
    </row>
    <row r="21" spans="1:13" s="25" customFormat="1" ht="15.75" customHeight="1">
      <c r="A21" s="67" t="s">
        <v>22</v>
      </c>
      <c r="B21" s="262">
        <v>6627</v>
      </c>
      <c r="C21" s="68">
        <v>1252</v>
      </c>
      <c r="D21" s="68">
        <v>974</v>
      </c>
      <c r="E21" s="68">
        <v>593</v>
      </c>
      <c r="F21" s="68">
        <v>257</v>
      </c>
      <c r="G21" s="68">
        <v>1150</v>
      </c>
      <c r="H21" s="68">
        <v>61</v>
      </c>
      <c r="I21" s="68">
        <v>786</v>
      </c>
      <c r="J21" s="68">
        <v>842</v>
      </c>
      <c r="K21" s="68">
        <v>255</v>
      </c>
      <c r="L21" s="68">
        <v>304</v>
      </c>
      <c r="M21" s="68">
        <v>153</v>
      </c>
    </row>
    <row r="22" spans="1:13" s="25" customFormat="1" ht="15.75" customHeight="1">
      <c r="A22" s="67" t="s">
        <v>140</v>
      </c>
      <c r="B22" s="262">
        <v>1849</v>
      </c>
      <c r="C22" s="68">
        <v>363</v>
      </c>
      <c r="D22" s="68">
        <v>282</v>
      </c>
      <c r="E22" s="68">
        <v>149</v>
      </c>
      <c r="F22" s="68">
        <v>56</v>
      </c>
      <c r="G22" s="68">
        <v>351</v>
      </c>
      <c r="H22" s="68">
        <v>11</v>
      </c>
      <c r="I22" s="68">
        <v>210</v>
      </c>
      <c r="J22" s="68">
        <v>245</v>
      </c>
      <c r="K22" s="68">
        <v>64</v>
      </c>
      <c r="L22" s="68">
        <v>74</v>
      </c>
      <c r="M22" s="68">
        <v>44</v>
      </c>
    </row>
    <row r="23" spans="1:13" s="25" customFormat="1" ht="15.75" customHeight="1">
      <c r="A23" s="67" t="s">
        <v>455</v>
      </c>
      <c r="B23" s="262">
        <v>3806</v>
      </c>
      <c r="C23" s="68">
        <v>635</v>
      </c>
      <c r="D23" s="68">
        <v>543</v>
      </c>
      <c r="E23" s="68">
        <v>371</v>
      </c>
      <c r="F23" s="68">
        <v>172</v>
      </c>
      <c r="G23" s="68">
        <v>638</v>
      </c>
      <c r="H23" s="68">
        <v>41</v>
      </c>
      <c r="I23" s="68">
        <v>471</v>
      </c>
      <c r="J23" s="68">
        <v>494</v>
      </c>
      <c r="K23" s="68">
        <v>160</v>
      </c>
      <c r="L23" s="68">
        <v>185</v>
      </c>
      <c r="M23" s="68">
        <v>96</v>
      </c>
    </row>
    <row r="24" spans="1:13" s="25" customFormat="1" ht="15.75" customHeight="1">
      <c r="A24" s="67" t="s">
        <v>456</v>
      </c>
      <c r="B24" s="262">
        <v>328</v>
      </c>
      <c r="C24" s="68">
        <v>85</v>
      </c>
      <c r="D24" s="68">
        <v>55</v>
      </c>
      <c r="E24" s="68">
        <v>27</v>
      </c>
      <c r="F24" s="68">
        <v>10</v>
      </c>
      <c r="G24" s="68">
        <v>51</v>
      </c>
      <c r="H24" s="68">
        <v>5</v>
      </c>
      <c r="I24" s="68">
        <v>38</v>
      </c>
      <c r="J24" s="68">
        <v>29</v>
      </c>
      <c r="K24" s="68">
        <v>10</v>
      </c>
      <c r="L24" s="68">
        <v>12</v>
      </c>
      <c r="M24" s="68">
        <v>6</v>
      </c>
    </row>
    <row r="25" spans="1:13" s="25" customFormat="1" ht="15.75" customHeight="1">
      <c r="A25" s="67" t="s">
        <v>143</v>
      </c>
      <c r="B25" s="262">
        <v>11</v>
      </c>
      <c r="C25" s="68">
        <v>2</v>
      </c>
      <c r="D25" s="68">
        <v>2</v>
      </c>
      <c r="E25" s="68">
        <v>0</v>
      </c>
      <c r="F25" s="68">
        <v>0</v>
      </c>
      <c r="G25" s="68">
        <v>3</v>
      </c>
      <c r="H25" s="68">
        <v>0</v>
      </c>
      <c r="I25" s="68">
        <v>3</v>
      </c>
      <c r="J25" s="68">
        <v>1</v>
      </c>
      <c r="K25" s="68">
        <v>0</v>
      </c>
      <c r="L25" s="68">
        <v>0</v>
      </c>
      <c r="M25" s="68">
        <v>0</v>
      </c>
    </row>
    <row r="26" spans="1:13" s="25" customFormat="1" ht="15.75" customHeight="1">
      <c r="A26" s="67" t="s">
        <v>457</v>
      </c>
      <c r="B26" s="262">
        <v>633</v>
      </c>
      <c r="C26" s="68">
        <v>167</v>
      </c>
      <c r="D26" s="68">
        <v>92</v>
      </c>
      <c r="E26" s="68">
        <v>46</v>
      </c>
      <c r="F26" s="68">
        <v>19</v>
      </c>
      <c r="G26" s="68">
        <v>107</v>
      </c>
      <c r="H26" s="68">
        <v>4</v>
      </c>
      <c r="I26" s="68">
        <v>64</v>
      </c>
      <c r="J26" s="68">
        <v>73</v>
      </c>
      <c r="K26" s="68">
        <v>21</v>
      </c>
      <c r="L26" s="68">
        <v>33</v>
      </c>
      <c r="M26" s="68">
        <v>7</v>
      </c>
    </row>
    <row r="27" spans="1:13" s="25" customFormat="1" ht="15.75" customHeight="1">
      <c r="A27" s="67" t="s">
        <v>21</v>
      </c>
      <c r="B27" s="262">
        <v>6635</v>
      </c>
      <c r="C27" s="68">
        <v>1180</v>
      </c>
      <c r="D27" s="68">
        <v>980</v>
      </c>
      <c r="E27" s="68">
        <v>656</v>
      </c>
      <c r="F27" s="68">
        <v>304</v>
      </c>
      <c r="G27" s="68">
        <v>1138</v>
      </c>
      <c r="H27" s="68">
        <v>61</v>
      </c>
      <c r="I27" s="68">
        <v>751</v>
      </c>
      <c r="J27" s="68">
        <v>880</v>
      </c>
      <c r="K27" s="68">
        <v>273</v>
      </c>
      <c r="L27" s="68">
        <v>297</v>
      </c>
      <c r="M27" s="68">
        <v>115</v>
      </c>
    </row>
    <row r="28" spans="1:13" s="25" customFormat="1" ht="15.75" customHeight="1">
      <c r="A28" s="67" t="s">
        <v>140</v>
      </c>
      <c r="B28" s="262">
        <v>2098</v>
      </c>
      <c r="C28" s="68">
        <v>441</v>
      </c>
      <c r="D28" s="68">
        <v>303</v>
      </c>
      <c r="E28" s="68">
        <v>197</v>
      </c>
      <c r="F28" s="68">
        <v>73</v>
      </c>
      <c r="G28" s="68">
        <v>380</v>
      </c>
      <c r="H28" s="68">
        <v>12</v>
      </c>
      <c r="I28" s="68">
        <v>232</v>
      </c>
      <c r="J28" s="68">
        <v>279</v>
      </c>
      <c r="K28" s="68">
        <v>78</v>
      </c>
      <c r="L28" s="68">
        <v>78</v>
      </c>
      <c r="M28" s="68">
        <v>25</v>
      </c>
    </row>
    <row r="29" spans="1:13" s="25" customFormat="1" ht="15.75" customHeight="1">
      <c r="A29" s="67" t="s">
        <v>455</v>
      </c>
      <c r="B29" s="262">
        <v>3839</v>
      </c>
      <c r="C29" s="68">
        <v>607</v>
      </c>
      <c r="D29" s="68">
        <v>564</v>
      </c>
      <c r="E29" s="68">
        <v>398</v>
      </c>
      <c r="F29" s="68">
        <v>194</v>
      </c>
      <c r="G29" s="68">
        <v>638</v>
      </c>
      <c r="H29" s="68">
        <v>43</v>
      </c>
      <c r="I29" s="68">
        <v>449</v>
      </c>
      <c r="J29" s="68">
        <v>514</v>
      </c>
      <c r="K29" s="68">
        <v>158</v>
      </c>
      <c r="L29" s="68">
        <v>196</v>
      </c>
      <c r="M29" s="68">
        <v>78</v>
      </c>
    </row>
    <row r="30" spans="1:13" s="25" customFormat="1" ht="15.75" customHeight="1">
      <c r="A30" s="67" t="s">
        <v>456</v>
      </c>
      <c r="B30" s="262">
        <v>101</v>
      </c>
      <c r="C30" s="68">
        <v>19</v>
      </c>
      <c r="D30" s="68">
        <v>17</v>
      </c>
      <c r="E30" s="68">
        <v>15</v>
      </c>
      <c r="F30" s="68">
        <v>7</v>
      </c>
      <c r="G30" s="68">
        <v>14</v>
      </c>
      <c r="H30" s="68">
        <v>0</v>
      </c>
      <c r="I30" s="68">
        <v>12</v>
      </c>
      <c r="J30" s="68">
        <v>8</v>
      </c>
      <c r="K30" s="68">
        <v>5</v>
      </c>
      <c r="L30" s="68">
        <v>3</v>
      </c>
      <c r="M30" s="68">
        <v>1</v>
      </c>
    </row>
    <row r="31" spans="1:13" s="25" customFormat="1" ht="15.75" customHeight="1">
      <c r="A31" s="67" t="s">
        <v>143</v>
      </c>
      <c r="B31" s="262">
        <v>18</v>
      </c>
      <c r="C31" s="68">
        <v>2</v>
      </c>
      <c r="D31" s="68">
        <v>4</v>
      </c>
      <c r="E31" s="68">
        <v>1</v>
      </c>
      <c r="F31" s="68">
        <v>0</v>
      </c>
      <c r="G31" s="68">
        <v>4</v>
      </c>
      <c r="H31" s="68">
        <v>0</v>
      </c>
      <c r="I31" s="68">
        <v>2</v>
      </c>
      <c r="J31" s="68">
        <v>5</v>
      </c>
      <c r="K31" s="68">
        <v>0</v>
      </c>
      <c r="L31" s="68">
        <v>0</v>
      </c>
      <c r="M31" s="68">
        <v>0</v>
      </c>
    </row>
    <row r="32" spans="1:13" s="25" customFormat="1" ht="15.75" customHeight="1" thickBot="1">
      <c r="A32" s="84" t="s">
        <v>457</v>
      </c>
      <c r="B32" s="263">
        <v>579</v>
      </c>
      <c r="C32" s="83">
        <v>111</v>
      </c>
      <c r="D32" s="83">
        <v>92</v>
      </c>
      <c r="E32" s="83">
        <v>45</v>
      </c>
      <c r="F32" s="83">
        <v>30</v>
      </c>
      <c r="G32" s="83">
        <v>102</v>
      </c>
      <c r="H32" s="83">
        <v>6</v>
      </c>
      <c r="I32" s="83">
        <v>56</v>
      </c>
      <c r="J32" s="83">
        <v>74</v>
      </c>
      <c r="K32" s="83">
        <v>32</v>
      </c>
      <c r="L32" s="83">
        <v>20</v>
      </c>
      <c r="M32" s="83">
        <v>11</v>
      </c>
    </row>
    <row r="33" spans="1:13" ht="15">
      <c r="A33" s="392" t="s">
        <v>635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</row>
  </sheetData>
  <sheetProtection/>
  <mergeCells count="5">
    <mergeCell ref="A1:M1"/>
    <mergeCell ref="A2:M2"/>
    <mergeCell ref="A3:M3"/>
    <mergeCell ref="C4:M4"/>
    <mergeCell ref="A33:M3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landscape" paperSize="9" scale="96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zoomScale="85" zoomScaleNormal="85" zoomScalePageLayoutView="0" workbookViewId="0" topLeftCell="A1">
      <selection activeCell="F29" sqref="F29"/>
    </sheetView>
  </sheetViews>
  <sheetFormatPr defaultColWidth="11.421875" defaultRowHeight="12.75"/>
  <cols>
    <col min="1" max="1" width="31.8515625" style="41" customWidth="1"/>
    <col min="2" max="2" width="8.140625" style="41" customWidth="1"/>
    <col min="3" max="16384" width="11.421875" style="41" customWidth="1"/>
  </cols>
  <sheetData>
    <row r="1" spans="1:13" ht="18" customHeight="1">
      <c r="A1" s="397" t="s">
        <v>624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11"/>
    </row>
    <row r="2" spans="1:7" ht="15.75" customHeight="1">
      <c r="A2" s="111" t="s">
        <v>429</v>
      </c>
      <c r="B2" s="111"/>
      <c r="C2" s="111"/>
      <c r="D2" s="111"/>
      <c r="E2" s="111"/>
      <c r="F2" s="111"/>
      <c r="G2" s="111"/>
    </row>
    <row r="3" spans="1:7" ht="15.75" customHeight="1">
      <c r="A3" s="423" t="s">
        <v>528</v>
      </c>
      <c r="B3" s="423"/>
      <c r="C3" s="423"/>
      <c r="D3" s="113"/>
      <c r="E3" s="111"/>
      <c r="F3" s="111"/>
      <c r="G3" s="111"/>
    </row>
    <row r="4" spans="1:7" ht="15.75" customHeight="1" thickBot="1">
      <c r="A4" s="395" t="s">
        <v>461</v>
      </c>
      <c r="B4" s="395"/>
      <c r="C4" s="114"/>
      <c r="D4" s="114"/>
      <c r="E4" s="111"/>
      <c r="F4" s="111"/>
      <c r="G4" s="111"/>
    </row>
    <row r="5" spans="1:4" ht="15.75" customHeight="1">
      <c r="A5" s="114"/>
      <c r="B5" s="363" t="s">
        <v>134</v>
      </c>
      <c r="C5" s="436"/>
      <c r="D5" s="436"/>
    </row>
    <row r="6" spans="1:4" ht="15.75" customHeight="1">
      <c r="A6" s="115" t="s">
        <v>134</v>
      </c>
      <c r="B6" s="262">
        <v>3</v>
      </c>
      <c r="C6" s="68"/>
      <c r="D6" s="68"/>
    </row>
    <row r="7" spans="1:4" ht="15.75" customHeight="1">
      <c r="A7" s="115" t="s">
        <v>516</v>
      </c>
      <c r="B7" s="262">
        <v>3</v>
      </c>
      <c r="C7" s="68"/>
      <c r="D7" s="68"/>
    </row>
    <row r="8" spans="1:4" ht="15.75" customHeight="1">
      <c r="A8" s="113" t="s">
        <v>430</v>
      </c>
      <c r="B8" s="262">
        <v>2</v>
      </c>
      <c r="C8" s="68"/>
      <c r="D8" s="68"/>
    </row>
    <row r="9" spans="1:4" ht="15.75" customHeight="1">
      <c r="A9" s="113" t="s">
        <v>366</v>
      </c>
      <c r="B9" s="262">
        <v>1</v>
      </c>
      <c r="C9" s="68"/>
      <c r="D9" s="68"/>
    </row>
    <row r="10" spans="1:4" ht="15.75" customHeight="1">
      <c r="A10" s="111" t="s">
        <v>377</v>
      </c>
      <c r="B10" s="262">
        <v>1</v>
      </c>
      <c r="C10" s="68"/>
      <c r="D10" s="68"/>
    </row>
    <row r="11" spans="1:4" ht="15.75" customHeight="1">
      <c r="A11" s="111" t="s">
        <v>22</v>
      </c>
      <c r="B11" s="262">
        <v>1</v>
      </c>
      <c r="C11" s="68"/>
      <c r="D11" s="68"/>
    </row>
    <row r="12" spans="1:4" ht="15.75" customHeight="1">
      <c r="A12" s="113" t="s">
        <v>381</v>
      </c>
      <c r="B12" s="262">
        <v>1</v>
      </c>
      <c r="C12" s="68"/>
      <c r="D12" s="68"/>
    </row>
    <row r="13" spans="1:4" ht="15.75" customHeight="1">
      <c r="A13" s="111" t="s">
        <v>384</v>
      </c>
      <c r="B13" s="262">
        <v>1</v>
      </c>
      <c r="C13" s="68"/>
      <c r="D13" s="68"/>
    </row>
    <row r="14" spans="1:4" ht="15.75" customHeight="1">
      <c r="A14" s="111" t="s">
        <v>21</v>
      </c>
      <c r="B14" s="262">
        <v>1</v>
      </c>
      <c r="C14" s="68"/>
      <c r="D14" s="68"/>
    </row>
    <row r="15" spans="1:4" ht="15.75" customHeight="1">
      <c r="A15" s="113" t="s">
        <v>195</v>
      </c>
      <c r="B15" s="262">
        <v>1</v>
      </c>
      <c r="C15" s="68"/>
      <c r="D15" s="68"/>
    </row>
    <row r="16" spans="1:4" ht="15.75" customHeight="1">
      <c r="A16" s="113" t="s">
        <v>366</v>
      </c>
      <c r="B16" s="262">
        <v>1</v>
      </c>
      <c r="C16" s="68"/>
      <c r="D16" s="68"/>
    </row>
    <row r="17" spans="1:4" ht="15.75" customHeight="1">
      <c r="A17" s="111" t="s">
        <v>380</v>
      </c>
      <c r="B17" s="262">
        <v>1</v>
      </c>
      <c r="C17" s="68"/>
      <c r="D17" s="68"/>
    </row>
    <row r="18" spans="1:4" ht="15.75" customHeight="1" thickBot="1">
      <c r="A18" s="111" t="s">
        <v>21</v>
      </c>
      <c r="B18" s="262">
        <v>1</v>
      </c>
      <c r="C18" s="68"/>
      <c r="D18" s="68"/>
    </row>
    <row r="19" spans="1:4" ht="15">
      <c r="A19" s="391" t="s">
        <v>635</v>
      </c>
      <c r="B19" s="391"/>
      <c r="C19" s="181"/>
      <c r="D19" s="181"/>
    </row>
    <row r="20" spans="1:4" ht="15.75">
      <c r="A20" s="113"/>
      <c r="B20" s="68"/>
      <c r="C20" s="68"/>
      <c r="D20" s="68"/>
    </row>
  </sheetData>
  <sheetProtection/>
  <mergeCells count="5">
    <mergeCell ref="C5:D5"/>
    <mergeCell ref="A4:B4"/>
    <mergeCell ref="A3:C3"/>
    <mergeCell ref="A19:B19"/>
    <mergeCell ref="A1:L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zoomScale="85" zoomScaleNormal="85" zoomScalePageLayoutView="0" workbookViewId="0" topLeftCell="A1">
      <selection activeCell="G36" sqref="G36"/>
    </sheetView>
  </sheetViews>
  <sheetFormatPr defaultColWidth="11.421875" defaultRowHeight="12.75"/>
  <cols>
    <col min="1" max="1" width="11.57421875" style="4" bestFit="1" customWidth="1"/>
    <col min="2" max="2" width="7.7109375" style="4" bestFit="1" customWidth="1"/>
    <col min="3" max="10" width="11.57421875" style="4" bestFit="1" customWidth="1"/>
    <col min="11" max="11" width="16.7109375" style="4" bestFit="1" customWidth="1"/>
    <col min="12" max="16384" width="11.421875" style="4" customWidth="1"/>
  </cols>
  <sheetData>
    <row r="1" spans="1:11" ht="18">
      <c r="A1" s="437" t="s">
        <v>269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5.75" customHeight="1" thickBot="1">
      <c r="A2" s="390" t="s">
        <v>462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5.75" customHeight="1">
      <c r="A3" s="42"/>
      <c r="B3" s="442" t="s">
        <v>120</v>
      </c>
      <c r="C3" s="442"/>
      <c r="D3" s="442"/>
      <c r="E3" s="443" t="s">
        <v>74</v>
      </c>
      <c r="F3" s="443"/>
      <c r="G3" s="443"/>
      <c r="H3" s="443" t="s">
        <v>76</v>
      </c>
      <c r="I3" s="443"/>
      <c r="J3" s="443"/>
      <c r="K3" s="42" t="s">
        <v>23</v>
      </c>
    </row>
    <row r="4" spans="1:11" ht="15.75" customHeight="1">
      <c r="A4" s="189" t="s">
        <v>4</v>
      </c>
      <c r="B4" s="190" t="s">
        <v>134</v>
      </c>
      <c r="C4" s="190" t="s">
        <v>22</v>
      </c>
      <c r="D4" s="190" t="s">
        <v>21</v>
      </c>
      <c r="E4" s="190" t="s">
        <v>134</v>
      </c>
      <c r="F4" s="190" t="s">
        <v>22</v>
      </c>
      <c r="G4" s="190" t="s">
        <v>21</v>
      </c>
      <c r="H4" s="190" t="s">
        <v>134</v>
      </c>
      <c r="I4" s="190" t="s">
        <v>22</v>
      </c>
      <c r="J4" s="190" t="s">
        <v>21</v>
      </c>
      <c r="K4" s="190"/>
    </row>
    <row r="5" spans="1:11" ht="15.75" customHeight="1">
      <c r="A5" s="184">
        <v>1960</v>
      </c>
      <c r="B5" s="388">
        <f>SUM(C5:D5)</f>
        <v>16628</v>
      </c>
      <c r="C5" s="185">
        <f aca="true" t="shared" si="0" ref="C5:D20">+F5+I5</f>
        <v>8498</v>
      </c>
      <c r="D5" s="185">
        <f t="shared" si="0"/>
        <v>8130</v>
      </c>
      <c r="E5" s="185">
        <f>SUM(F5:G5)</f>
        <v>12485</v>
      </c>
      <c r="F5" s="42">
        <v>6273</v>
      </c>
      <c r="G5" s="42">
        <v>6212</v>
      </c>
      <c r="H5" s="185">
        <f>SUM(I5:J5)</f>
        <v>4143</v>
      </c>
      <c r="I5" s="42">
        <v>2225</v>
      </c>
      <c r="J5" s="42">
        <v>1918</v>
      </c>
      <c r="K5" s="186">
        <f>H5/(E5+H5)</f>
        <v>0.24915804666827038</v>
      </c>
    </row>
    <row r="6" spans="1:11" ht="15.75" customHeight="1">
      <c r="A6" s="184">
        <v>1970</v>
      </c>
      <c r="B6" s="388">
        <f>SUM(C6:D6)</f>
        <v>21350</v>
      </c>
      <c r="C6" s="185">
        <f t="shared" si="0"/>
        <v>10734</v>
      </c>
      <c r="D6" s="185">
        <f t="shared" si="0"/>
        <v>10616</v>
      </c>
      <c r="E6" s="185">
        <f>SUM(F6:G6)</f>
        <v>14304</v>
      </c>
      <c r="F6" s="42">
        <v>7263</v>
      </c>
      <c r="G6" s="42">
        <v>7041</v>
      </c>
      <c r="H6" s="185">
        <f>SUM(I6:J6)</f>
        <v>7046</v>
      </c>
      <c r="I6" s="42">
        <v>3471</v>
      </c>
      <c r="J6" s="42">
        <v>3575</v>
      </c>
      <c r="K6" s="186">
        <f>H6/(E6+H6)</f>
        <v>0.33002341920374706</v>
      </c>
    </row>
    <row r="7" spans="1:11" ht="15.75" customHeight="1">
      <c r="A7" s="184">
        <v>1980</v>
      </c>
      <c r="B7" s="388">
        <f>SUM(C7:D7)</f>
        <v>25215</v>
      </c>
      <c r="C7" s="185">
        <f t="shared" si="0"/>
        <v>12696</v>
      </c>
      <c r="D7" s="185">
        <f t="shared" si="0"/>
        <v>12519</v>
      </c>
      <c r="E7" s="185">
        <f>SUM(F7:G7)</f>
        <v>15913</v>
      </c>
      <c r="F7" s="42">
        <v>8526</v>
      </c>
      <c r="G7" s="42">
        <v>7387</v>
      </c>
      <c r="H7" s="185">
        <f>SUM(I7:J7)</f>
        <v>9302</v>
      </c>
      <c r="I7" s="42">
        <v>4170</v>
      </c>
      <c r="J7" s="42">
        <v>5132</v>
      </c>
      <c r="K7" s="186">
        <f>H7/(E7+H7)</f>
        <v>0.3689073963910371</v>
      </c>
    </row>
    <row r="8" spans="1:11" ht="15.75" customHeight="1">
      <c r="A8" s="184">
        <v>1990</v>
      </c>
      <c r="B8" s="388">
        <f>SUM(C8:D8)</f>
        <v>29032</v>
      </c>
      <c r="C8" s="185">
        <f t="shared" si="0"/>
        <v>14567</v>
      </c>
      <c r="D8" s="185">
        <f t="shared" si="0"/>
        <v>14465</v>
      </c>
      <c r="E8" s="185">
        <f>SUM(F8:G8)</f>
        <v>18123</v>
      </c>
      <c r="F8" s="42">
        <v>9618</v>
      </c>
      <c r="G8" s="42">
        <v>8505</v>
      </c>
      <c r="H8" s="185">
        <f>SUM(I8:J8)</f>
        <v>10909</v>
      </c>
      <c r="I8" s="42">
        <v>4949</v>
      </c>
      <c r="J8" s="42">
        <v>5960</v>
      </c>
      <c r="K8" s="186">
        <f>H8/(E8+H8)</f>
        <v>0.3757577845136401</v>
      </c>
    </row>
    <row r="9" spans="1:11" ht="15.75" customHeight="1">
      <c r="A9" s="184">
        <v>2000</v>
      </c>
      <c r="B9" s="388">
        <f>SUM(C9:D9)</f>
        <v>32863</v>
      </c>
      <c r="C9" s="185">
        <f t="shared" si="0"/>
        <v>16825</v>
      </c>
      <c r="D9" s="185">
        <f t="shared" si="0"/>
        <v>16038</v>
      </c>
      <c r="E9" s="185">
        <f aca="true" t="shared" si="1" ref="E9:E21">SUM(F9:G9)</f>
        <v>21543</v>
      </c>
      <c r="F9" s="185">
        <v>11258</v>
      </c>
      <c r="G9" s="185">
        <v>10285</v>
      </c>
      <c r="H9" s="185">
        <f aca="true" t="shared" si="2" ref="H9:H21">SUM(I9:J9)</f>
        <v>11320</v>
      </c>
      <c r="I9" s="185">
        <v>5567</v>
      </c>
      <c r="J9" s="185">
        <v>5753</v>
      </c>
      <c r="K9" s="186">
        <f aca="true" t="shared" si="3" ref="K9:K21">H9/(E9+H9)</f>
        <v>0.34446033533152787</v>
      </c>
    </row>
    <row r="10" spans="1:11" ht="15.75" customHeight="1">
      <c r="A10" s="184">
        <v>2001</v>
      </c>
      <c r="B10" s="388">
        <f aca="true" t="shared" si="4" ref="B10:B21">SUM(C10:D10)</f>
        <v>33525</v>
      </c>
      <c r="C10" s="185">
        <f t="shared" si="0"/>
        <v>17088</v>
      </c>
      <c r="D10" s="185">
        <f t="shared" si="0"/>
        <v>16437</v>
      </c>
      <c r="E10" s="185">
        <f t="shared" si="1"/>
        <v>22030</v>
      </c>
      <c r="F10" s="185">
        <v>11448</v>
      </c>
      <c r="G10" s="185">
        <v>10582</v>
      </c>
      <c r="H10" s="185">
        <f t="shared" si="2"/>
        <v>11495</v>
      </c>
      <c r="I10" s="185">
        <v>5640</v>
      </c>
      <c r="J10" s="185">
        <v>5855</v>
      </c>
      <c r="K10" s="186">
        <f t="shared" si="3"/>
        <v>0.3428784489187174</v>
      </c>
    </row>
    <row r="11" spans="1:11" ht="15.75" customHeight="1">
      <c r="A11" s="184">
        <v>2002</v>
      </c>
      <c r="B11" s="388">
        <f t="shared" si="4"/>
        <v>33863</v>
      </c>
      <c r="C11" s="185">
        <f t="shared" si="0"/>
        <v>17232</v>
      </c>
      <c r="D11" s="185">
        <f t="shared" si="0"/>
        <v>16631</v>
      </c>
      <c r="E11" s="185">
        <f t="shared" si="1"/>
        <v>22297</v>
      </c>
      <c r="F11" s="185">
        <v>11566</v>
      </c>
      <c r="G11" s="185">
        <v>10731</v>
      </c>
      <c r="H11" s="185">
        <f t="shared" si="2"/>
        <v>11566</v>
      </c>
      <c r="I11" s="185">
        <v>5666</v>
      </c>
      <c r="J11" s="185">
        <v>5900</v>
      </c>
      <c r="K11" s="186">
        <f t="shared" si="3"/>
        <v>0.3415527271653427</v>
      </c>
    </row>
    <row r="12" spans="1:11" ht="15.75" customHeight="1">
      <c r="A12" s="184">
        <v>2003</v>
      </c>
      <c r="B12" s="388">
        <f t="shared" si="4"/>
        <v>34294</v>
      </c>
      <c r="C12" s="185">
        <f t="shared" si="0"/>
        <v>17413</v>
      </c>
      <c r="D12" s="185">
        <f t="shared" si="0"/>
        <v>16881</v>
      </c>
      <c r="E12" s="185">
        <f t="shared" si="1"/>
        <v>22508</v>
      </c>
      <c r="F12" s="185">
        <v>11655</v>
      </c>
      <c r="G12" s="185">
        <v>10853</v>
      </c>
      <c r="H12" s="185">
        <f t="shared" si="2"/>
        <v>11786</v>
      </c>
      <c r="I12" s="185">
        <v>5758</v>
      </c>
      <c r="J12" s="185">
        <v>6028</v>
      </c>
      <c r="K12" s="186">
        <f t="shared" si="3"/>
        <v>0.3436752784743687</v>
      </c>
    </row>
    <row r="13" spans="1:11" ht="15.75" customHeight="1">
      <c r="A13" s="184">
        <v>2004</v>
      </c>
      <c r="B13" s="388">
        <f t="shared" si="4"/>
        <v>34600</v>
      </c>
      <c r="C13" s="185">
        <f t="shared" si="0"/>
        <v>17550</v>
      </c>
      <c r="D13" s="185">
        <f t="shared" si="0"/>
        <v>17050</v>
      </c>
      <c r="E13" s="185">
        <f t="shared" si="1"/>
        <v>22748</v>
      </c>
      <c r="F13" s="185">
        <v>11764</v>
      </c>
      <c r="G13" s="185">
        <v>10984</v>
      </c>
      <c r="H13" s="185">
        <f t="shared" si="2"/>
        <v>11852</v>
      </c>
      <c r="I13" s="185">
        <v>5786</v>
      </c>
      <c r="J13" s="185">
        <v>6066</v>
      </c>
      <c r="K13" s="186">
        <f t="shared" si="3"/>
        <v>0.3425433526011561</v>
      </c>
    </row>
    <row r="14" spans="1:11" ht="15.75" customHeight="1">
      <c r="A14" s="184">
        <v>2005</v>
      </c>
      <c r="B14" s="388">
        <f t="shared" si="4"/>
        <v>34905</v>
      </c>
      <c r="C14" s="185">
        <f t="shared" si="0"/>
        <v>17701</v>
      </c>
      <c r="D14" s="185">
        <f t="shared" si="0"/>
        <v>17204</v>
      </c>
      <c r="E14" s="185">
        <f t="shared" si="1"/>
        <v>22988</v>
      </c>
      <c r="F14" s="185">
        <v>11860</v>
      </c>
      <c r="G14" s="185">
        <v>11128</v>
      </c>
      <c r="H14" s="185">
        <f t="shared" si="2"/>
        <v>11917</v>
      </c>
      <c r="I14" s="185">
        <v>5841</v>
      </c>
      <c r="J14" s="185">
        <v>6076</v>
      </c>
      <c r="K14" s="186">
        <f t="shared" si="3"/>
        <v>0.34141240509955595</v>
      </c>
    </row>
    <row r="15" spans="1:11" ht="15.75" customHeight="1">
      <c r="A15" s="184">
        <v>2006</v>
      </c>
      <c r="B15" s="388">
        <f t="shared" si="4"/>
        <v>35168</v>
      </c>
      <c r="C15" s="185">
        <f t="shared" si="0"/>
        <v>17825</v>
      </c>
      <c r="D15" s="185">
        <f t="shared" si="0"/>
        <v>17343</v>
      </c>
      <c r="E15" s="185">
        <f t="shared" si="1"/>
        <v>23261</v>
      </c>
      <c r="F15" s="185">
        <v>11985</v>
      </c>
      <c r="G15" s="185">
        <v>11276</v>
      </c>
      <c r="H15" s="185">
        <f t="shared" si="2"/>
        <v>11907</v>
      </c>
      <c r="I15" s="185">
        <v>5840</v>
      </c>
      <c r="J15" s="185">
        <v>6067</v>
      </c>
      <c r="K15" s="186">
        <f t="shared" si="3"/>
        <v>0.3385748407643312</v>
      </c>
    </row>
    <row r="16" spans="1:11" ht="15.75" customHeight="1">
      <c r="A16" s="184">
        <v>2007</v>
      </c>
      <c r="B16" s="388">
        <f t="shared" si="4"/>
        <v>35356</v>
      </c>
      <c r="C16" s="185">
        <f t="shared" si="0"/>
        <v>17908</v>
      </c>
      <c r="D16" s="185">
        <f t="shared" si="0"/>
        <v>17448</v>
      </c>
      <c r="E16" s="185">
        <f t="shared" si="1"/>
        <v>23494</v>
      </c>
      <c r="F16" s="185">
        <v>12079</v>
      </c>
      <c r="G16" s="185">
        <v>11415</v>
      </c>
      <c r="H16" s="185">
        <f t="shared" si="2"/>
        <v>11862</v>
      </c>
      <c r="I16" s="185">
        <v>5829</v>
      </c>
      <c r="J16" s="185">
        <v>6033</v>
      </c>
      <c r="K16" s="186">
        <f t="shared" si="3"/>
        <v>0.3355017535920353</v>
      </c>
    </row>
    <row r="17" spans="1:11" ht="15.75" customHeight="1">
      <c r="A17" s="184">
        <v>2008</v>
      </c>
      <c r="B17" s="388">
        <f t="shared" si="4"/>
        <v>35589</v>
      </c>
      <c r="C17" s="185">
        <f t="shared" si="0"/>
        <v>17998</v>
      </c>
      <c r="D17" s="185">
        <f t="shared" si="0"/>
        <v>17591</v>
      </c>
      <c r="E17" s="185">
        <f t="shared" si="1"/>
        <v>23819</v>
      </c>
      <c r="F17" s="185">
        <v>12206</v>
      </c>
      <c r="G17" s="185">
        <v>11613</v>
      </c>
      <c r="H17" s="185">
        <f t="shared" si="2"/>
        <v>11770</v>
      </c>
      <c r="I17" s="185">
        <v>5792</v>
      </c>
      <c r="J17" s="185">
        <v>5978</v>
      </c>
      <c r="K17" s="186">
        <f t="shared" si="3"/>
        <v>0.33072016634353313</v>
      </c>
    </row>
    <row r="18" spans="1:11" ht="15.75" customHeight="1">
      <c r="A18" s="184">
        <v>2009</v>
      </c>
      <c r="B18" s="388">
        <f t="shared" si="4"/>
        <v>35894</v>
      </c>
      <c r="C18" s="185">
        <f t="shared" si="0"/>
        <v>18125</v>
      </c>
      <c r="D18" s="185">
        <f t="shared" si="0"/>
        <v>17769</v>
      </c>
      <c r="E18" s="185">
        <f t="shared" si="1"/>
        <v>24008</v>
      </c>
      <c r="F18" s="185">
        <v>12295</v>
      </c>
      <c r="G18" s="185">
        <v>11713</v>
      </c>
      <c r="H18" s="185">
        <f t="shared" si="2"/>
        <v>11886</v>
      </c>
      <c r="I18" s="185">
        <v>5830</v>
      </c>
      <c r="J18" s="185">
        <v>6056</v>
      </c>
      <c r="K18" s="186">
        <f t="shared" si="3"/>
        <v>0.33114169499080626</v>
      </c>
    </row>
    <row r="19" spans="1:11" ht="15.75" customHeight="1">
      <c r="A19" s="184">
        <v>2010</v>
      </c>
      <c r="B19" s="388">
        <f t="shared" si="4"/>
        <v>36149</v>
      </c>
      <c r="C19" s="185">
        <f t="shared" si="0"/>
        <v>18263</v>
      </c>
      <c r="D19" s="185">
        <f t="shared" si="0"/>
        <v>17886</v>
      </c>
      <c r="E19" s="185">
        <f t="shared" si="1"/>
        <v>24145</v>
      </c>
      <c r="F19" s="185">
        <v>12341</v>
      </c>
      <c r="G19" s="185">
        <v>11804</v>
      </c>
      <c r="H19" s="185">
        <f t="shared" si="2"/>
        <v>12004</v>
      </c>
      <c r="I19" s="185">
        <v>5922</v>
      </c>
      <c r="J19" s="185">
        <v>6082</v>
      </c>
      <c r="K19" s="186">
        <f t="shared" si="3"/>
        <v>0.33207004343135355</v>
      </c>
    </row>
    <row r="20" spans="1:11" ht="15.75" customHeight="1">
      <c r="A20" s="187">
        <v>2011</v>
      </c>
      <c r="B20" s="388">
        <f>SUM(C20:D20)</f>
        <v>36475</v>
      </c>
      <c r="C20" s="185">
        <f t="shared" si="0"/>
        <v>18433</v>
      </c>
      <c r="D20" s="185">
        <f t="shared" si="0"/>
        <v>18042</v>
      </c>
      <c r="E20" s="185">
        <f>SUM(F20:G20)</f>
        <v>24331</v>
      </c>
      <c r="F20" s="185">
        <v>12436</v>
      </c>
      <c r="G20" s="185">
        <v>11895</v>
      </c>
      <c r="H20" s="185">
        <f>SUM(I20:J20)</f>
        <v>12144</v>
      </c>
      <c r="I20" s="185">
        <v>5997</v>
      </c>
      <c r="J20" s="185">
        <v>6147</v>
      </c>
      <c r="K20" s="186">
        <f>H20/(E20+H20)</f>
        <v>0.33294037011651817</v>
      </c>
    </row>
    <row r="21" spans="1:11" ht="15.75" customHeight="1">
      <c r="A21" s="184">
        <v>2012</v>
      </c>
      <c r="B21" s="388">
        <f t="shared" si="4"/>
        <v>36838</v>
      </c>
      <c r="C21" s="185">
        <f aca="true" t="shared" si="5" ref="C21:D26">+F21+I21</f>
        <v>18591</v>
      </c>
      <c r="D21" s="185">
        <f t="shared" si="5"/>
        <v>18247</v>
      </c>
      <c r="E21" s="185">
        <f t="shared" si="1"/>
        <v>24501</v>
      </c>
      <c r="F21" s="185">
        <v>12484</v>
      </c>
      <c r="G21" s="185">
        <v>12017</v>
      </c>
      <c r="H21" s="185">
        <f t="shared" si="2"/>
        <v>12337</v>
      </c>
      <c r="I21" s="185">
        <v>6107</v>
      </c>
      <c r="J21" s="185">
        <v>6230</v>
      </c>
      <c r="K21" s="186">
        <f t="shared" si="3"/>
        <v>0.334898745860253</v>
      </c>
    </row>
    <row r="22" spans="1:11" ht="15.75" customHeight="1">
      <c r="A22" s="184">
        <v>2013</v>
      </c>
      <c r="B22" s="388">
        <f aca="true" t="shared" si="6" ref="B22:B27">SUM(C22:D22)</f>
        <v>37129</v>
      </c>
      <c r="C22" s="185">
        <f t="shared" si="5"/>
        <v>18729</v>
      </c>
      <c r="D22" s="185">
        <f t="shared" si="5"/>
        <v>18400</v>
      </c>
      <c r="E22" s="185">
        <f aca="true" t="shared" si="7" ref="E22:E27">SUM(F22:G22)</f>
        <v>24610</v>
      </c>
      <c r="F22" s="185">
        <v>12525</v>
      </c>
      <c r="G22" s="185">
        <v>12085</v>
      </c>
      <c r="H22" s="185">
        <f aca="true" t="shared" si="8" ref="H22:H27">SUM(I22:J22)</f>
        <v>12519</v>
      </c>
      <c r="I22" s="185">
        <v>6204</v>
      </c>
      <c r="J22" s="185">
        <v>6315</v>
      </c>
      <c r="K22" s="186">
        <f aca="true" t="shared" si="9" ref="K22:K27">H22/(E22+H22)</f>
        <v>0.3371757925072046</v>
      </c>
    </row>
    <row r="23" spans="1:11" ht="15.75" customHeight="1">
      <c r="A23" s="184">
        <v>2014</v>
      </c>
      <c r="B23" s="388">
        <f t="shared" si="6"/>
        <v>37366</v>
      </c>
      <c r="C23" s="185">
        <f t="shared" si="5"/>
        <v>18813</v>
      </c>
      <c r="D23" s="185">
        <f t="shared" si="5"/>
        <v>18553</v>
      </c>
      <c r="E23" s="185">
        <f t="shared" si="7"/>
        <v>24787</v>
      </c>
      <c r="F23" s="185">
        <v>12582</v>
      </c>
      <c r="G23" s="185">
        <v>12205</v>
      </c>
      <c r="H23" s="185">
        <f t="shared" si="8"/>
        <v>12579</v>
      </c>
      <c r="I23" s="185">
        <v>6231</v>
      </c>
      <c r="J23" s="185">
        <v>6348</v>
      </c>
      <c r="K23" s="186">
        <f t="shared" si="9"/>
        <v>0.336642937429749</v>
      </c>
    </row>
    <row r="24" spans="1:11" ht="15.75" customHeight="1">
      <c r="A24" s="184">
        <v>2015</v>
      </c>
      <c r="B24" s="388">
        <f t="shared" si="6"/>
        <v>37622</v>
      </c>
      <c r="C24" s="185">
        <f t="shared" si="5"/>
        <v>18962</v>
      </c>
      <c r="D24" s="185">
        <f t="shared" si="5"/>
        <v>18660</v>
      </c>
      <c r="E24" s="185">
        <f t="shared" si="7"/>
        <v>24847</v>
      </c>
      <c r="F24" s="185">
        <v>12604</v>
      </c>
      <c r="G24" s="185">
        <v>12243</v>
      </c>
      <c r="H24" s="185">
        <f t="shared" si="8"/>
        <v>12775</v>
      </c>
      <c r="I24" s="185">
        <v>6358</v>
      </c>
      <c r="J24" s="185">
        <v>6417</v>
      </c>
      <c r="K24" s="186">
        <f t="shared" si="9"/>
        <v>0.339561958428579</v>
      </c>
    </row>
    <row r="25" spans="1:11" ht="15.75" customHeight="1">
      <c r="A25" s="184">
        <v>2016</v>
      </c>
      <c r="B25" s="388">
        <f t="shared" si="6"/>
        <v>37810</v>
      </c>
      <c r="C25" s="185">
        <f t="shared" si="5"/>
        <v>19064</v>
      </c>
      <c r="D25" s="185">
        <f t="shared" si="5"/>
        <v>18746</v>
      </c>
      <c r="E25" s="185">
        <f t="shared" si="7"/>
        <v>25015</v>
      </c>
      <c r="F25" s="185">
        <v>12682</v>
      </c>
      <c r="G25" s="185">
        <v>12333</v>
      </c>
      <c r="H25" s="185">
        <f t="shared" si="8"/>
        <v>12795</v>
      </c>
      <c r="I25" s="185">
        <v>6382</v>
      </c>
      <c r="J25" s="185">
        <v>6413</v>
      </c>
      <c r="K25" s="186">
        <f t="shared" si="9"/>
        <v>0.3384025390108437</v>
      </c>
    </row>
    <row r="26" spans="1:12" ht="15.75" customHeight="1">
      <c r="A26" s="184">
        <v>2017</v>
      </c>
      <c r="B26" s="388">
        <f t="shared" si="6"/>
        <v>38114</v>
      </c>
      <c r="C26" s="185">
        <f t="shared" si="5"/>
        <v>19224</v>
      </c>
      <c r="D26" s="185">
        <f t="shared" si="5"/>
        <v>18890</v>
      </c>
      <c r="E26" s="185">
        <f t="shared" si="7"/>
        <v>25173</v>
      </c>
      <c r="F26" s="185">
        <v>12781</v>
      </c>
      <c r="G26" s="185">
        <v>12392</v>
      </c>
      <c r="H26" s="185">
        <f t="shared" si="8"/>
        <v>12941</v>
      </c>
      <c r="I26" s="185">
        <v>6443</v>
      </c>
      <c r="J26" s="185">
        <v>6498</v>
      </c>
      <c r="K26" s="186">
        <f t="shared" si="9"/>
        <v>0.33953402949047595</v>
      </c>
      <c r="L26" s="11"/>
    </row>
    <row r="27" spans="1:11" ht="15.75" customHeight="1">
      <c r="A27" s="184">
        <v>2018</v>
      </c>
      <c r="B27" s="388">
        <f t="shared" si="6"/>
        <v>38378</v>
      </c>
      <c r="C27" s="185">
        <f>+F27+I27</f>
        <v>19353</v>
      </c>
      <c r="D27" s="185">
        <f>+G27+J27</f>
        <v>19025</v>
      </c>
      <c r="E27" s="185">
        <f t="shared" si="7"/>
        <v>25321</v>
      </c>
      <c r="F27" s="185">
        <v>12839</v>
      </c>
      <c r="G27" s="185">
        <v>12482</v>
      </c>
      <c r="H27" s="185">
        <f t="shared" si="8"/>
        <v>13057</v>
      </c>
      <c r="I27" s="185">
        <v>6514</v>
      </c>
      <c r="J27" s="185">
        <v>6543</v>
      </c>
      <c r="K27" s="186">
        <f t="shared" si="9"/>
        <v>0.340220959924957</v>
      </c>
    </row>
    <row r="28" spans="1:11" ht="15.75" customHeight="1" thickBot="1">
      <c r="A28" s="387">
        <v>2019</v>
      </c>
      <c r="B28" s="296">
        <f>SUM(C28:D28)</f>
        <v>38747</v>
      </c>
      <c r="C28" s="385">
        <v>19532</v>
      </c>
      <c r="D28" s="385">
        <v>19215</v>
      </c>
      <c r="E28" s="385">
        <f>SUM(F28:G28)</f>
        <v>25485</v>
      </c>
      <c r="F28" s="385">
        <v>12905</v>
      </c>
      <c r="G28" s="385">
        <v>12580</v>
      </c>
      <c r="H28" s="385">
        <f>SUM(I28:J28)</f>
        <v>13262</v>
      </c>
      <c r="I28" s="385">
        <v>6627</v>
      </c>
      <c r="J28" s="385">
        <v>6635</v>
      </c>
      <c r="K28" s="386">
        <f>H28/(E28+H28)</f>
        <v>0.34227165974139934</v>
      </c>
    </row>
    <row r="29" spans="1:12" ht="15.75" customHeight="1">
      <c r="A29" s="392" t="s">
        <v>635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181"/>
    </row>
    <row r="30" spans="1:11" ht="15.75" customHeight="1">
      <c r="A30" s="439" t="s">
        <v>202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</row>
    <row r="31" spans="1:11" ht="15.75" customHeight="1">
      <c r="A31" s="440" t="s">
        <v>203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</row>
    <row r="33" ht="12.75">
      <c r="D33" s="11"/>
    </row>
    <row r="34" ht="12.75">
      <c r="D34" s="11"/>
    </row>
    <row r="35" spans="4:9" ht="12.75">
      <c r="D35" s="11"/>
      <c r="I35" s="5"/>
    </row>
    <row r="36" ht="12.75">
      <c r="D36" s="11"/>
    </row>
    <row r="37" spans="4:9" ht="12.75">
      <c r="D37" s="11"/>
      <c r="I37" s="11"/>
    </row>
    <row r="38" spans="6:9" ht="12.75">
      <c r="F38" s="5"/>
      <c r="I38" s="11"/>
    </row>
    <row r="39" ht="12.75">
      <c r="I39" s="11"/>
    </row>
    <row r="40" spans="6:9" ht="12.75">
      <c r="F40" s="11"/>
      <c r="I40" s="11"/>
    </row>
    <row r="41" spans="6:9" ht="12.75">
      <c r="F41" s="11"/>
      <c r="I41" s="11"/>
    </row>
    <row r="42" spans="6:9" ht="12.75">
      <c r="F42" s="11"/>
      <c r="I42" s="11"/>
    </row>
    <row r="43" spans="6:9" ht="12.75">
      <c r="F43" s="11"/>
      <c r="I43" s="11"/>
    </row>
    <row r="44" spans="6:9" ht="12.75">
      <c r="F44" s="11"/>
      <c r="I44" s="11"/>
    </row>
    <row r="45" spans="6:9" ht="12.75">
      <c r="F45" s="11"/>
      <c r="I45" s="11"/>
    </row>
    <row r="46" spans="6:9" ht="12.75">
      <c r="F46" s="11"/>
      <c r="I46" s="11"/>
    </row>
    <row r="47" spans="6:9" ht="12.75">
      <c r="F47" s="11"/>
      <c r="I47" s="11"/>
    </row>
    <row r="48" spans="6:9" ht="12.75">
      <c r="F48" s="11"/>
      <c r="I48" s="11"/>
    </row>
    <row r="49" spans="6:9" ht="12.75">
      <c r="F49" s="11"/>
      <c r="I49" s="11"/>
    </row>
    <row r="50" spans="6:9" ht="12.75">
      <c r="F50" s="11"/>
      <c r="I50" s="11"/>
    </row>
    <row r="51" spans="6:9" ht="12.75">
      <c r="F51" s="11"/>
      <c r="I51" s="11"/>
    </row>
    <row r="52" spans="6:9" ht="12.75">
      <c r="F52" s="11"/>
      <c r="I52" s="11"/>
    </row>
    <row r="53" spans="6:9" ht="12.75">
      <c r="F53" s="11"/>
      <c r="I53" s="11"/>
    </row>
    <row r="54" spans="6:9" ht="12.75">
      <c r="F54" s="11"/>
      <c r="I54" s="11"/>
    </row>
    <row r="55" ht="12.75">
      <c r="F55" s="11"/>
    </row>
    <row r="56" ht="12.75">
      <c r="F56" s="11"/>
    </row>
    <row r="57" ht="12.75">
      <c r="F57" s="11"/>
    </row>
  </sheetData>
  <sheetProtection/>
  <mergeCells count="8">
    <mergeCell ref="A1:K1"/>
    <mergeCell ref="A30:K30"/>
    <mergeCell ref="A31:K31"/>
    <mergeCell ref="A2:K2"/>
    <mergeCell ref="B3:D3"/>
    <mergeCell ref="E3:G3"/>
    <mergeCell ref="H3:J3"/>
    <mergeCell ref="A29:K29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7"/>
  <sheetViews>
    <sheetView zoomScale="85" zoomScaleNormal="85" zoomScalePageLayoutView="0" workbookViewId="0" topLeftCell="A10">
      <selection activeCell="L58" sqref="L58"/>
    </sheetView>
  </sheetViews>
  <sheetFormatPr defaultColWidth="11.421875" defaultRowHeight="12.75"/>
  <cols>
    <col min="1" max="1" width="9.8515625" style="25" customWidth="1"/>
    <col min="2" max="2" width="7.8515625" style="25" bestFit="1" customWidth="1"/>
    <col min="3" max="3" width="7.7109375" style="25" bestFit="1" customWidth="1"/>
    <col min="4" max="4" width="9.28125" style="25" bestFit="1" customWidth="1"/>
    <col min="5" max="5" width="8.8515625" style="25" bestFit="1" customWidth="1"/>
    <col min="6" max="6" width="14.140625" style="25" bestFit="1" customWidth="1"/>
    <col min="7" max="7" width="9.28125" style="25" bestFit="1" customWidth="1"/>
    <col min="8" max="8" width="9.7109375" style="25" bestFit="1" customWidth="1"/>
    <col min="9" max="9" width="9.00390625" style="25" bestFit="1" customWidth="1"/>
    <col min="10" max="10" width="9.28125" style="25" bestFit="1" customWidth="1"/>
    <col min="11" max="11" width="10.28125" style="25" bestFit="1" customWidth="1"/>
    <col min="12" max="12" width="9.28125" style="25" bestFit="1" customWidth="1"/>
    <col min="13" max="13" width="15.140625" style="25" bestFit="1" customWidth="1"/>
    <col min="14" max="16384" width="11.421875" style="25" customWidth="1"/>
  </cols>
  <sheetData>
    <row r="1" spans="1:13" ht="18">
      <c r="A1" s="445" t="s">
        <v>264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15.75" thickBot="1">
      <c r="A2" s="390" t="s">
        <v>463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>
      <c r="A3" s="347"/>
      <c r="B3" s="364" t="s">
        <v>134</v>
      </c>
      <c r="C3" s="446" t="s">
        <v>122</v>
      </c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ht="15" customHeight="1">
      <c r="A4" s="188" t="s">
        <v>4</v>
      </c>
      <c r="B4" s="194"/>
      <c r="C4" s="195" t="s">
        <v>123</v>
      </c>
      <c r="D4" s="195" t="s">
        <v>124</v>
      </c>
      <c r="E4" s="195" t="s">
        <v>125</v>
      </c>
      <c r="F4" s="195" t="s">
        <v>126</v>
      </c>
      <c r="G4" s="195" t="s">
        <v>127</v>
      </c>
      <c r="H4" s="195" t="s">
        <v>128</v>
      </c>
      <c r="I4" s="195" t="s">
        <v>129</v>
      </c>
      <c r="J4" s="195" t="s">
        <v>130</v>
      </c>
      <c r="K4" s="195" t="s">
        <v>131</v>
      </c>
      <c r="L4" s="195" t="s">
        <v>132</v>
      </c>
      <c r="M4" s="195" t="s">
        <v>133</v>
      </c>
    </row>
    <row r="5" spans="1:13" ht="15.75">
      <c r="A5" s="439" t="s">
        <v>15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13" ht="15">
      <c r="A6" s="187">
        <v>1960</v>
      </c>
      <c r="B6" s="299">
        <v>16628</v>
      </c>
      <c r="C6" s="191">
        <v>3398</v>
      </c>
      <c r="D6" s="191">
        <v>1789</v>
      </c>
      <c r="E6" s="191">
        <v>2115</v>
      </c>
      <c r="F6" s="191">
        <v>1414</v>
      </c>
      <c r="G6" s="191">
        <v>3022</v>
      </c>
      <c r="H6" s="191">
        <v>122</v>
      </c>
      <c r="I6" s="191">
        <v>1571</v>
      </c>
      <c r="J6" s="191">
        <v>1536</v>
      </c>
      <c r="K6" s="191">
        <v>434</v>
      </c>
      <c r="L6" s="191">
        <v>783</v>
      </c>
      <c r="M6" s="191">
        <v>444</v>
      </c>
    </row>
    <row r="7" spans="1:13" ht="15">
      <c r="A7" s="187">
        <v>1970</v>
      </c>
      <c r="B7" s="299">
        <v>21350</v>
      </c>
      <c r="C7" s="191">
        <v>3921</v>
      </c>
      <c r="D7" s="191">
        <v>2637</v>
      </c>
      <c r="E7" s="191">
        <v>2704</v>
      </c>
      <c r="F7" s="191">
        <v>1813</v>
      </c>
      <c r="G7" s="191">
        <v>3890</v>
      </c>
      <c r="H7" s="191">
        <v>177</v>
      </c>
      <c r="I7" s="191">
        <v>2114</v>
      </c>
      <c r="J7" s="191">
        <v>2055</v>
      </c>
      <c r="K7" s="191">
        <v>660</v>
      </c>
      <c r="L7" s="191">
        <v>866</v>
      </c>
      <c r="M7" s="191">
        <v>513</v>
      </c>
    </row>
    <row r="8" spans="1:13" ht="15">
      <c r="A8" s="187">
        <v>1980</v>
      </c>
      <c r="B8" s="299">
        <v>25215</v>
      </c>
      <c r="C8" s="191">
        <v>4606</v>
      </c>
      <c r="D8" s="191">
        <v>2970</v>
      </c>
      <c r="E8" s="191">
        <v>3186</v>
      </c>
      <c r="F8" s="191">
        <v>2098</v>
      </c>
      <c r="G8" s="191">
        <v>4551</v>
      </c>
      <c r="H8" s="191">
        <v>280</v>
      </c>
      <c r="I8" s="191">
        <v>2594</v>
      </c>
      <c r="J8" s="191">
        <v>2463</v>
      </c>
      <c r="K8" s="191">
        <v>777</v>
      </c>
      <c r="L8" s="191">
        <v>1113</v>
      </c>
      <c r="M8" s="191">
        <v>577</v>
      </c>
    </row>
    <row r="9" spans="1:13" ht="15">
      <c r="A9" s="187">
        <v>1990</v>
      </c>
      <c r="B9" s="299">
        <v>29032</v>
      </c>
      <c r="C9" s="191">
        <v>4897</v>
      </c>
      <c r="D9" s="191">
        <v>3543</v>
      </c>
      <c r="E9" s="191">
        <v>3791</v>
      </c>
      <c r="F9" s="191">
        <v>2296</v>
      </c>
      <c r="G9" s="191">
        <v>5036</v>
      </c>
      <c r="H9" s="191">
        <v>312</v>
      </c>
      <c r="I9" s="191">
        <v>3103</v>
      </c>
      <c r="J9" s="191">
        <v>2774</v>
      </c>
      <c r="K9" s="191">
        <v>989</v>
      </c>
      <c r="L9" s="191">
        <v>1479</v>
      </c>
      <c r="M9" s="191">
        <v>812</v>
      </c>
    </row>
    <row r="10" spans="1:13" ht="15">
      <c r="A10" s="187">
        <v>2000</v>
      </c>
      <c r="B10" s="299">
        <f aca="true" t="shared" si="0" ref="B10:B28">SUM(C10:M10)</f>
        <v>32863</v>
      </c>
      <c r="C10" s="191">
        <v>4927</v>
      </c>
      <c r="D10" s="191">
        <v>4381</v>
      </c>
      <c r="E10" s="191">
        <v>4233</v>
      </c>
      <c r="F10" s="191">
        <v>2556</v>
      </c>
      <c r="G10" s="191">
        <v>5454</v>
      </c>
      <c r="H10" s="191">
        <v>355</v>
      </c>
      <c r="I10" s="191">
        <v>3791</v>
      </c>
      <c r="J10" s="191">
        <v>3288</v>
      </c>
      <c r="K10" s="191">
        <v>1159</v>
      </c>
      <c r="L10" s="191">
        <v>1744</v>
      </c>
      <c r="M10" s="191">
        <v>975</v>
      </c>
    </row>
    <row r="11" spans="1:13" ht="15">
      <c r="A11" s="187">
        <v>2001</v>
      </c>
      <c r="B11" s="299">
        <f t="shared" si="0"/>
        <v>33525</v>
      </c>
      <c r="C11" s="191">
        <v>4949</v>
      </c>
      <c r="D11" s="191">
        <v>4509</v>
      </c>
      <c r="E11" s="191">
        <v>4299</v>
      </c>
      <c r="F11" s="191">
        <v>2596</v>
      </c>
      <c r="G11" s="191">
        <v>5556</v>
      </c>
      <c r="H11" s="191">
        <v>357</v>
      </c>
      <c r="I11" s="191">
        <v>3863</v>
      </c>
      <c r="J11" s="191">
        <v>3457</v>
      </c>
      <c r="K11" s="191">
        <v>1207</v>
      </c>
      <c r="L11" s="191">
        <v>1754</v>
      </c>
      <c r="M11" s="191">
        <v>978</v>
      </c>
    </row>
    <row r="12" spans="1:13" ht="15">
      <c r="A12" s="187">
        <v>2002</v>
      </c>
      <c r="B12" s="299">
        <f t="shared" si="0"/>
        <v>33863</v>
      </c>
      <c r="C12" s="191">
        <v>5038</v>
      </c>
      <c r="D12" s="191">
        <v>4558</v>
      </c>
      <c r="E12" s="191">
        <v>4312</v>
      </c>
      <c r="F12" s="191">
        <v>2607</v>
      </c>
      <c r="G12" s="191">
        <v>5573</v>
      </c>
      <c r="H12" s="191">
        <v>366</v>
      </c>
      <c r="I12" s="191">
        <v>3886</v>
      </c>
      <c r="J12" s="191">
        <v>3516</v>
      </c>
      <c r="K12" s="191">
        <v>1229</v>
      </c>
      <c r="L12" s="191">
        <v>1805</v>
      </c>
      <c r="M12" s="191">
        <v>973</v>
      </c>
    </row>
    <row r="13" spans="1:13" ht="15">
      <c r="A13" s="187">
        <v>2003</v>
      </c>
      <c r="B13" s="299">
        <f t="shared" si="0"/>
        <v>34294</v>
      </c>
      <c r="C13" s="191">
        <v>5005</v>
      </c>
      <c r="D13" s="191">
        <v>4633</v>
      </c>
      <c r="E13" s="191">
        <v>4353</v>
      </c>
      <c r="F13" s="191">
        <v>2591</v>
      </c>
      <c r="G13" s="191">
        <v>5639</v>
      </c>
      <c r="H13" s="191">
        <v>373</v>
      </c>
      <c r="I13" s="191">
        <v>3993</v>
      </c>
      <c r="J13" s="191">
        <v>3625</v>
      </c>
      <c r="K13" s="191">
        <v>1301</v>
      </c>
      <c r="L13" s="191">
        <v>1834</v>
      </c>
      <c r="M13" s="191">
        <v>947</v>
      </c>
    </row>
    <row r="14" spans="1:13" ht="15">
      <c r="A14" s="187">
        <v>2004</v>
      </c>
      <c r="B14" s="299">
        <f t="shared" si="0"/>
        <v>34600</v>
      </c>
      <c r="C14" s="191">
        <v>5053</v>
      </c>
      <c r="D14" s="191">
        <v>4578</v>
      </c>
      <c r="E14" s="191">
        <v>4423</v>
      </c>
      <c r="F14" s="191">
        <v>2564</v>
      </c>
      <c r="G14" s="191">
        <v>5752</v>
      </c>
      <c r="H14" s="191">
        <v>368</v>
      </c>
      <c r="I14" s="191">
        <v>3996</v>
      </c>
      <c r="J14" s="191">
        <v>3634</v>
      </c>
      <c r="K14" s="191">
        <v>1414</v>
      </c>
      <c r="L14" s="191">
        <v>1872</v>
      </c>
      <c r="M14" s="191">
        <v>946</v>
      </c>
    </row>
    <row r="15" spans="1:13" ht="15">
      <c r="A15" s="187">
        <v>2005</v>
      </c>
      <c r="B15" s="299">
        <f t="shared" si="0"/>
        <v>34905</v>
      </c>
      <c r="C15" s="191">
        <v>5047</v>
      </c>
      <c r="D15" s="191">
        <v>4643</v>
      </c>
      <c r="E15" s="191">
        <v>4436</v>
      </c>
      <c r="F15" s="191">
        <v>2542</v>
      </c>
      <c r="G15" s="191">
        <v>5811</v>
      </c>
      <c r="H15" s="191">
        <v>366</v>
      </c>
      <c r="I15" s="191">
        <v>4076</v>
      </c>
      <c r="J15" s="191">
        <v>3649</v>
      </c>
      <c r="K15" s="191">
        <v>1436</v>
      </c>
      <c r="L15" s="191">
        <v>1925</v>
      </c>
      <c r="M15" s="191">
        <v>974</v>
      </c>
    </row>
    <row r="16" spans="1:13" ht="15">
      <c r="A16" s="187">
        <v>2006</v>
      </c>
      <c r="B16" s="299">
        <f t="shared" si="0"/>
        <v>35168</v>
      </c>
      <c r="C16" s="191">
        <v>5070</v>
      </c>
      <c r="D16" s="191">
        <v>4674</v>
      </c>
      <c r="E16" s="191">
        <v>4450</v>
      </c>
      <c r="F16" s="191">
        <v>2566</v>
      </c>
      <c r="G16" s="191">
        <v>5747</v>
      </c>
      <c r="H16" s="191">
        <v>387</v>
      </c>
      <c r="I16" s="191">
        <v>4141</v>
      </c>
      <c r="J16" s="191">
        <v>3718</v>
      </c>
      <c r="K16" s="191">
        <v>1463</v>
      </c>
      <c r="L16" s="191">
        <v>1920</v>
      </c>
      <c r="M16" s="191">
        <v>1032</v>
      </c>
    </row>
    <row r="17" spans="1:13" ht="15">
      <c r="A17" s="187">
        <v>2007</v>
      </c>
      <c r="B17" s="299">
        <f t="shared" si="0"/>
        <v>35356</v>
      </c>
      <c r="C17" s="191">
        <v>5104</v>
      </c>
      <c r="D17" s="191">
        <v>4712</v>
      </c>
      <c r="E17" s="191">
        <v>4507</v>
      </c>
      <c r="F17" s="191">
        <v>2549</v>
      </c>
      <c r="G17" s="191">
        <v>5691</v>
      </c>
      <c r="H17" s="191">
        <v>407</v>
      </c>
      <c r="I17" s="191">
        <v>4136</v>
      </c>
      <c r="J17" s="191">
        <v>3798</v>
      </c>
      <c r="K17" s="191">
        <v>1492</v>
      </c>
      <c r="L17" s="191">
        <v>1931</v>
      </c>
      <c r="M17" s="191">
        <v>1029</v>
      </c>
    </row>
    <row r="18" spans="1:13" ht="15">
      <c r="A18" s="187">
        <v>2008</v>
      </c>
      <c r="B18" s="299">
        <f t="shared" si="0"/>
        <v>35589</v>
      </c>
      <c r="C18" s="191">
        <v>5111</v>
      </c>
      <c r="D18" s="191">
        <v>4759</v>
      </c>
      <c r="E18" s="191">
        <v>4513</v>
      </c>
      <c r="F18" s="191">
        <v>2538</v>
      </c>
      <c r="G18" s="191">
        <v>5758</v>
      </c>
      <c r="H18" s="191">
        <v>421</v>
      </c>
      <c r="I18" s="191">
        <v>4150</v>
      </c>
      <c r="J18" s="191">
        <v>3836</v>
      </c>
      <c r="K18" s="191">
        <v>1524</v>
      </c>
      <c r="L18" s="191">
        <v>1937</v>
      </c>
      <c r="M18" s="191">
        <v>1042</v>
      </c>
    </row>
    <row r="19" spans="1:13" ht="15">
      <c r="A19" s="187">
        <v>2009</v>
      </c>
      <c r="B19" s="299">
        <f t="shared" si="0"/>
        <v>35894</v>
      </c>
      <c r="C19" s="191">
        <v>5204</v>
      </c>
      <c r="D19" s="191">
        <v>4806</v>
      </c>
      <c r="E19" s="191">
        <v>4511</v>
      </c>
      <c r="F19" s="191">
        <v>2511</v>
      </c>
      <c r="G19" s="191">
        <v>5788</v>
      </c>
      <c r="H19" s="191">
        <v>422</v>
      </c>
      <c r="I19" s="191">
        <v>4201</v>
      </c>
      <c r="J19" s="191">
        <v>3884</v>
      </c>
      <c r="K19" s="191">
        <v>1583</v>
      </c>
      <c r="L19" s="191">
        <v>1966</v>
      </c>
      <c r="M19" s="191">
        <v>1018</v>
      </c>
    </row>
    <row r="20" spans="1:13" ht="15">
      <c r="A20" s="187">
        <v>2010</v>
      </c>
      <c r="B20" s="299">
        <f t="shared" si="0"/>
        <v>36149</v>
      </c>
      <c r="C20" s="191">
        <v>5207</v>
      </c>
      <c r="D20" s="191">
        <v>4826</v>
      </c>
      <c r="E20" s="191">
        <v>4528</v>
      </c>
      <c r="F20" s="191">
        <v>2562</v>
      </c>
      <c r="G20" s="191">
        <v>5767</v>
      </c>
      <c r="H20" s="191">
        <v>425</v>
      </c>
      <c r="I20" s="191">
        <v>4215</v>
      </c>
      <c r="J20" s="191">
        <v>3999</v>
      </c>
      <c r="K20" s="191">
        <v>1606</v>
      </c>
      <c r="L20" s="191">
        <v>2001</v>
      </c>
      <c r="M20" s="191">
        <v>1013</v>
      </c>
    </row>
    <row r="21" spans="1:13" ht="15">
      <c r="A21" s="187">
        <v>2011</v>
      </c>
      <c r="B21" s="300">
        <f t="shared" si="0"/>
        <v>36475</v>
      </c>
      <c r="C21" s="192">
        <v>5236</v>
      </c>
      <c r="D21" s="192">
        <v>4834</v>
      </c>
      <c r="E21" s="192">
        <v>4526</v>
      </c>
      <c r="F21" s="192">
        <v>2611</v>
      </c>
      <c r="G21" s="192">
        <v>5853</v>
      </c>
      <c r="H21" s="192">
        <v>423</v>
      </c>
      <c r="I21" s="192">
        <v>4249</v>
      </c>
      <c r="J21" s="192">
        <v>4012</v>
      </c>
      <c r="K21" s="192">
        <v>1641</v>
      </c>
      <c r="L21" s="192">
        <v>2057</v>
      </c>
      <c r="M21" s="192">
        <v>1033</v>
      </c>
    </row>
    <row r="22" spans="1:13" ht="15">
      <c r="A22" s="187">
        <v>2012</v>
      </c>
      <c r="B22" s="300">
        <f t="shared" si="0"/>
        <v>36838</v>
      </c>
      <c r="C22" s="192">
        <v>5229</v>
      </c>
      <c r="D22" s="192">
        <v>4913</v>
      </c>
      <c r="E22" s="192">
        <v>4539</v>
      </c>
      <c r="F22" s="192">
        <v>2634</v>
      </c>
      <c r="G22" s="192">
        <v>5933</v>
      </c>
      <c r="H22" s="192">
        <v>430</v>
      </c>
      <c r="I22" s="192">
        <v>4284</v>
      </c>
      <c r="J22" s="192">
        <v>4138</v>
      </c>
      <c r="K22" s="192">
        <v>1636</v>
      </c>
      <c r="L22" s="192">
        <v>2065</v>
      </c>
      <c r="M22" s="192">
        <v>1037</v>
      </c>
    </row>
    <row r="23" spans="1:13" ht="15">
      <c r="A23" s="187">
        <v>2013</v>
      </c>
      <c r="B23" s="300">
        <f t="shared" si="0"/>
        <v>37129</v>
      </c>
      <c r="C23" s="192">
        <v>5372</v>
      </c>
      <c r="D23" s="192">
        <v>4989</v>
      </c>
      <c r="E23" s="192">
        <v>4594</v>
      </c>
      <c r="F23" s="192">
        <v>2620</v>
      </c>
      <c r="G23" s="192">
        <v>5925</v>
      </c>
      <c r="H23" s="192">
        <v>420</v>
      </c>
      <c r="I23" s="192">
        <v>4295</v>
      </c>
      <c r="J23" s="192">
        <v>4141</v>
      </c>
      <c r="K23" s="192">
        <v>1649</v>
      </c>
      <c r="L23" s="192">
        <v>2092</v>
      </c>
      <c r="M23" s="192">
        <v>1032</v>
      </c>
    </row>
    <row r="24" spans="1:13" ht="15">
      <c r="A24" s="187">
        <v>2014</v>
      </c>
      <c r="B24" s="300">
        <f t="shared" si="0"/>
        <v>37366</v>
      </c>
      <c r="C24" s="192">
        <v>5421</v>
      </c>
      <c r="D24" s="192">
        <v>5010</v>
      </c>
      <c r="E24" s="192">
        <v>4589</v>
      </c>
      <c r="F24" s="192">
        <v>2602</v>
      </c>
      <c r="G24" s="192">
        <v>5963</v>
      </c>
      <c r="H24" s="192">
        <v>424</v>
      </c>
      <c r="I24" s="192">
        <v>4311</v>
      </c>
      <c r="J24" s="192">
        <v>4189</v>
      </c>
      <c r="K24" s="192">
        <v>1657</v>
      </c>
      <c r="L24" s="192">
        <v>2147</v>
      </c>
      <c r="M24" s="192">
        <v>1053</v>
      </c>
    </row>
    <row r="25" spans="1:13" ht="15">
      <c r="A25" s="187">
        <v>2015</v>
      </c>
      <c r="B25" s="300">
        <f t="shared" si="0"/>
        <v>37622</v>
      </c>
      <c r="C25" s="192">
        <v>5435</v>
      </c>
      <c r="D25" s="192">
        <v>5051</v>
      </c>
      <c r="E25" s="192">
        <v>4608</v>
      </c>
      <c r="F25" s="192">
        <v>2608</v>
      </c>
      <c r="G25" s="192">
        <v>5994</v>
      </c>
      <c r="H25" s="192">
        <v>446</v>
      </c>
      <c r="I25" s="192">
        <v>4411</v>
      </c>
      <c r="J25" s="192">
        <v>4190</v>
      </c>
      <c r="K25" s="192">
        <v>1659</v>
      </c>
      <c r="L25" s="192">
        <v>2156</v>
      </c>
      <c r="M25" s="192">
        <v>1064</v>
      </c>
    </row>
    <row r="26" spans="1:13" ht="15">
      <c r="A26" s="187">
        <v>2016</v>
      </c>
      <c r="B26" s="300">
        <f t="shared" si="0"/>
        <v>37810</v>
      </c>
      <c r="C26" s="192">
        <v>5407</v>
      </c>
      <c r="D26" s="192">
        <v>5096</v>
      </c>
      <c r="E26" s="192">
        <v>4622</v>
      </c>
      <c r="F26" s="192">
        <v>2624</v>
      </c>
      <c r="G26" s="192">
        <v>5992</v>
      </c>
      <c r="H26" s="192">
        <v>450</v>
      </c>
      <c r="I26" s="192">
        <v>4390</v>
      </c>
      <c r="J26" s="192">
        <v>4268</v>
      </c>
      <c r="K26" s="192">
        <v>1657</v>
      </c>
      <c r="L26" s="192">
        <v>2224</v>
      </c>
      <c r="M26" s="192">
        <v>1080</v>
      </c>
    </row>
    <row r="27" spans="1:13" ht="15">
      <c r="A27" s="187">
        <v>2017</v>
      </c>
      <c r="B27" s="300">
        <f t="shared" si="0"/>
        <v>38114</v>
      </c>
      <c r="C27" s="192">
        <v>5526</v>
      </c>
      <c r="D27" s="192">
        <v>5156</v>
      </c>
      <c r="E27" s="192">
        <v>4590</v>
      </c>
      <c r="F27" s="192">
        <v>2608</v>
      </c>
      <c r="G27" s="192">
        <v>6039</v>
      </c>
      <c r="H27" s="192">
        <v>456</v>
      </c>
      <c r="I27" s="192">
        <v>4385</v>
      </c>
      <c r="J27" s="192">
        <v>4344</v>
      </c>
      <c r="K27" s="192">
        <v>1658</v>
      </c>
      <c r="L27" s="192">
        <v>2268</v>
      </c>
      <c r="M27" s="192">
        <v>1084</v>
      </c>
    </row>
    <row r="28" spans="1:13" ht="15">
      <c r="A28" s="187">
        <v>2018</v>
      </c>
      <c r="B28" s="300">
        <f t="shared" si="0"/>
        <v>38378</v>
      </c>
      <c r="C28" s="192">
        <v>5624</v>
      </c>
      <c r="D28" s="192">
        <v>5202</v>
      </c>
      <c r="E28" s="192">
        <v>4594</v>
      </c>
      <c r="F28" s="192">
        <v>2636</v>
      </c>
      <c r="G28" s="192">
        <v>6014</v>
      </c>
      <c r="H28" s="192">
        <v>472</v>
      </c>
      <c r="I28" s="192">
        <v>4416</v>
      </c>
      <c r="J28" s="192">
        <v>4389</v>
      </c>
      <c r="K28" s="192">
        <v>1671</v>
      </c>
      <c r="L28" s="192">
        <v>2276</v>
      </c>
      <c r="M28" s="192">
        <v>1084</v>
      </c>
    </row>
    <row r="29" spans="1:13" ht="15">
      <c r="A29" s="187">
        <v>2019</v>
      </c>
      <c r="B29" s="300">
        <v>38747</v>
      </c>
      <c r="C29" s="192">
        <v>5696</v>
      </c>
      <c r="D29" s="192">
        <v>5277</v>
      </c>
      <c r="E29" s="192">
        <v>4642</v>
      </c>
      <c r="F29" s="192">
        <v>2638</v>
      </c>
      <c r="G29" s="192">
        <v>6038</v>
      </c>
      <c r="H29" s="192">
        <v>473</v>
      </c>
      <c r="I29" s="192">
        <v>4465</v>
      </c>
      <c r="J29" s="192">
        <v>4399</v>
      </c>
      <c r="K29" s="192">
        <v>1690</v>
      </c>
      <c r="L29" s="192">
        <v>2322</v>
      </c>
      <c r="M29" s="192">
        <v>1107</v>
      </c>
    </row>
    <row r="30" spans="1:13" ht="15.75">
      <c r="A30" s="439" t="s">
        <v>16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</row>
    <row r="31" spans="1:13" ht="15">
      <c r="A31" s="187">
        <v>1960</v>
      </c>
      <c r="B31" s="301">
        <v>100</v>
      </c>
      <c r="C31" s="193">
        <v>100</v>
      </c>
      <c r="D31" s="193">
        <v>100</v>
      </c>
      <c r="E31" s="193">
        <v>100</v>
      </c>
      <c r="F31" s="193">
        <v>100</v>
      </c>
      <c r="G31" s="193">
        <v>100</v>
      </c>
      <c r="H31" s="193">
        <v>100</v>
      </c>
      <c r="I31" s="193">
        <v>100</v>
      </c>
      <c r="J31" s="193">
        <v>100</v>
      </c>
      <c r="K31" s="193">
        <v>100</v>
      </c>
      <c r="L31" s="193">
        <v>100</v>
      </c>
      <c r="M31" s="193">
        <v>100</v>
      </c>
    </row>
    <row r="32" spans="1:32" ht="15">
      <c r="A32" s="187">
        <v>1970</v>
      </c>
      <c r="B32" s="301">
        <v>128.4</v>
      </c>
      <c r="C32" s="193">
        <v>115.4</v>
      </c>
      <c r="D32" s="193">
        <v>147.4</v>
      </c>
      <c r="E32" s="193">
        <v>127.8</v>
      </c>
      <c r="F32" s="193">
        <v>128.2</v>
      </c>
      <c r="G32" s="193">
        <v>128.7</v>
      </c>
      <c r="H32" s="193">
        <v>145.1</v>
      </c>
      <c r="I32" s="193">
        <v>134.6</v>
      </c>
      <c r="J32" s="193">
        <v>133.8</v>
      </c>
      <c r="K32" s="193">
        <v>152.1</v>
      </c>
      <c r="L32" s="193">
        <v>110.6</v>
      </c>
      <c r="M32" s="193">
        <v>115.5</v>
      </c>
      <c r="T32" s="187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</row>
    <row r="33" spans="1:13" ht="15">
      <c r="A33" s="187">
        <v>1980</v>
      </c>
      <c r="B33" s="301">
        <v>151.6</v>
      </c>
      <c r="C33" s="193">
        <v>135.6</v>
      </c>
      <c r="D33" s="193">
        <v>166</v>
      </c>
      <c r="E33" s="193">
        <v>150.6</v>
      </c>
      <c r="F33" s="193">
        <v>148.4</v>
      </c>
      <c r="G33" s="193">
        <v>150.6</v>
      </c>
      <c r="H33" s="193">
        <v>229.5</v>
      </c>
      <c r="I33" s="193">
        <v>165.1</v>
      </c>
      <c r="J33" s="193">
        <v>160.4</v>
      </c>
      <c r="K33" s="193">
        <v>179</v>
      </c>
      <c r="L33" s="193">
        <v>142.1</v>
      </c>
      <c r="M33" s="193">
        <v>130</v>
      </c>
    </row>
    <row r="34" spans="1:13" ht="15">
      <c r="A34" s="187">
        <v>1990</v>
      </c>
      <c r="B34" s="301">
        <v>174.6</v>
      </c>
      <c r="C34" s="193">
        <v>144.1</v>
      </c>
      <c r="D34" s="193">
        <v>198</v>
      </c>
      <c r="E34" s="193">
        <v>179.2</v>
      </c>
      <c r="F34" s="193">
        <v>162.4</v>
      </c>
      <c r="G34" s="193">
        <v>166.6</v>
      </c>
      <c r="H34" s="193">
        <v>255.7</v>
      </c>
      <c r="I34" s="193">
        <v>197.5</v>
      </c>
      <c r="J34" s="193">
        <v>180.6</v>
      </c>
      <c r="K34" s="193">
        <v>227.9</v>
      </c>
      <c r="L34" s="193">
        <v>188.9</v>
      </c>
      <c r="M34" s="193">
        <v>182.9</v>
      </c>
    </row>
    <row r="35" spans="1:13" ht="15">
      <c r="A35" s="187">
        <v>2000</v>
      </c>
      <c r="B35" s="301">
        <v>197.6</v>
      </c>
      <c r="C35" s="193">
        <v>145</v>
      </c>
      <c r="D35" s="193">
        <v>244.9</v>
      </c>
      <c r="E35" s="193">
        <v>200.1</v>
      </c>
      <c r="F35" s="193">
        <v>180.8</v>
      </c>
      <c r="G35" s="193">
        <v>180.5</v>
      </c>
      <c r="H35" s="193">
        <v>291</v>
      </c>
      <c r="I35" s="193">
        <v>241.3</v>
      </c>
      <c r="J35" s="193">
        <v>214.1</v>
      </c>
      <c r="K35" s="193">
        <v>267.1</v>
      </c>
      <c r="L35" s="193">
        <v>222.7</v>
      </c>
      <c r="M35" s="193">
        <v>219.6</v>
      </c>
    </row>
    <row r="36" spans="1:13" ht="15">
      <c r="A36" s="187">
        <v>2001</v>
      </c>
      <c r="B36" s="301">
        <f>B11/B6*100</f>
        <v>201.61775318739475</v>
      </c>
      <c r="C36" s="193">
        <f aca="true" t="shared" si="1" ref="C36:M36">C11/C6*100</f>
        <v>145.64449676280165</v>
      </c>
      <c r="D36" s="193">
        <f t="shared" si="1"/>
        <v>252.04024594745667</v>
      </c>
      <c r="E36" s="193">
        <f t="shared" si="1"/>
        <v>203.26241134751774</v>
      </c>
      <c r="F36" s="193">
        <f t="shared" si="1"/>
        <v>183.5926449787836</v>
      </c>
      <c r="G36" s="193">
        <f t="shared" si="1"/>
        <v>183.85175380542685</v>
      </c>
      <c r="H36" s="193">
        <f t="shared" si="1"/>
        <v>292.62295081967216</v>
      </c>
      <c r="I36" s="193">
        <f t="shared" si="1"/>
        <v>245.89433481858686</v>
      </c>
      <c r="J36" s="193">
        <f t="shared" si="1"/>
        <v>225.06510416666666</v>
      </c>
      <c r="K36" s="193">
        <f t="shared" si="1"/>
        <v>278.110599078341</v>
      </c>
      <c r="L36" s="193">
        <f t="shared" si="1"/>
        <v>224.0102171136654</v>
      </c>
      <c r="M36" s="193">
        <f t="shared" si="1"/>
        <v>220.27027027027026</v>
      </c>
    </row>
    <row r="37" spans="1:13" ht="15">
      <c r="A37" s="187">
        <v>2002</v>
      </c>
      <c r="B37" s="301">
        <f>B12/B6*100</f>
        <v>203.6504690882848</v>
      </c>
      <c r="C37" s="193">
        <f aca="true" t="shared" si="2" ref="C37:M37">C12/C6*100</f>
        <v>148.26368452030607</v>
      </c>
      <c r="D37" s="193">
        <f t="shared" si="2"/>
        <v>254.7792062604807</v>
      </c>
      <c r="E37" s="193">
        <f t="shared" si="2"/>
        <v>203.8770685579196</v>
      </c>
      <c r="F37" s="193">
        <f t="shared" si="2"/>
        <v>184.37057991513436</v>
      </c>
      <c r="G37" s="193">
        <f t="shared" si="2"/>
        <v>184.4142951687624</v>
      </c>
      <c r="H37" s="193">
        <f t="shared" si="2"/>
        <v>300</v>
      </c>
      <c r="I37" s="193">
        <f t="shared" si="2"/>
        <v>247.3583704646722</v>
      </c>
      <c r="J37" s="193">
        <f t="shared" si="2"/>
        <v>228.90625</v>
      </c>
      <c r="K37" s="193">
        <f t="shared" si="2"/>
        <v>283.1797235023041</v>
      </c>
      <c r="L37" s="193">
        <f t="shared" si="2"/>
        <v>230.52362707535124</v>
      </c>
      <c r="M37" s="193">
        <f t="shared" si="2"/>
        <v>219.14414414414415</v>
      </c>
    </row>
    <row r="38" spans="1:13" ht="15">
      <c r="A38" s="187">
        <v>2003</v>
      </c>
      <c r="B38" s="301">
        <f>B13/B6*100</f>
        <v>206.24248255953813</v>
      </c>
      <c r="C38" s="193">
        <f aca="true" t="shared" si="3" ref="C38:M38">C13/C6*100</f>
        <v>147.29252501471456</v>
      </c>
      <c r="D38" s="193">
        <f t="shared" si="3"/>
        <v>258.9714924538848</v>
      </c>
      <c r="E38" s="193">
        <f t="shared" si="3"/>
        <v>205.81560283687944</v>
      </c>
      <c r="F38" s="193">
        <f t="shared" si="3"/>
        <v>183.23903818953323</v>
      </c>
      <c r="G38" s="193">
        <f t="shared" si="3"/>
        <v>186.59827928524155</v>
      </c>
      <c r="H38" s="193">
        <f t="shared" si="3"/>
        <v>305.7377049180328</v>
      </c>
      <c r="I38" s="193">
        <f t="shared" si="3"/>
        <v>254.16931890515596</v>
      </c>
      <c r="J38" s="193">
        <f t="shared" si="3"/>
        <v>236.00260416666666</v>
      </c>
      <c r="K38" s="193">
        <f t="shared" si="3"/>
        <v>299.7695852534562</v>
      </c>
      <c r="L38" s="193">
        <f t="shared" si="3"/>
        <v>234.2273307790549</v>
      </c>
      <c r="M38" s="193">
        <f t="shared" si="3"/>
        <v>213.28828828828827</v>
      </c>
    </row>
    <row r="39" spans="1:13" ht="15">
      <c r="A39" s="187">
        <v>2004</v>
      </c>
      <c r="B39" s="301">
        <f>B14/B6*100</f>
        <v>208.08275198460427</v>
      </c>
      <c r="C39" s="193">
        <f aca="true" t="shared" si="4" ref="C39:M39">C14/C6*100</f>
        <v>148.7051206592113</v>
      </c>
      <c r="D39" s="193">
        <f t="shared" si="4"/>
        <v>255.89714924538848</v>
      </c>
      <c r="E39" s="193">
        <f t="shared" si="4"/>
        <v>209.1252955082742</v>
      </c>
      <c r="F39" s="193">
        <f t="shared" si="4"/>
        <v>181.32956152758132</v>
      </c>
      <c r="G39" s="193">
        <f t="shared" si="4"/>
        <v>190.33752481800133</v>
      </c>
      <c r="H39" s="193">
        <f t="shared" si="4"/>
        <v>301.6393442622951</v>
      </c>
      <c r="I39" s="193">
        <f t="shared" si="4"/>
        <v>254.36028007638444</v>
      </c>
      <c r="J39" s="193">
        <f t="shared" si="4"/>
        <v>236.58854166666666</v>
      </c>
      <c r="K39" s="193">
        <f t="shared" si="4"/>
        <v>325.80645161290323</v>
      </c>
      <c r="L39" s="193">
        <f t="shared" si="4"/>
        <v>239.08045977011497</v>
      </c>
      <c r="M39" s="193">
        <f t="shared" si="4"/>
        <v>213.06306306306308</v>
      </c>
    </row>
    <row r="40" spans="1:13" ht="15">
      <c r="A40" s="187">
        <v>2005</v>
      </c>
      <c r="B40" s="301">
        <f>B15/B6*100</f>
        <v>209.91700745730094</v>
      </c>
      <c r="C40" s="193">
        <f aca="true" t="shared" si="5" ref="C40:M40">C15/C6*100</f>
        <v>148.52854620364923</v>
      </c>
      <c r="D40" s="193">
        <f t="shared" si="5"/>
        <v>259.5304639463387</v>
      </c>
      <c r="E40" s="193">
        <f t="shared" si="5"/>
        <v>209.7399527186761</v>
      </c>
      <c r="F40" s="193">
        <f t="shared" si="5"/>
        <v>179.77369165487977</v>
      </c>
      <c r="G40" s="193">
        <f t="shared" si="5"/>
        <v>192.28987425545995</v>
      </c>
      <c r="H40" s="193">
        <f t="shared" si="5"/>
        <v>300</v>
      </c>
      <c r="I40" s="193">
        <f t="shared" si="5"/>
        <v>259.4525779758116</v>
      </c>
      <c r="J40" s="193">
        <f t="shared" si="5"/>
        <v>237.56510416666666</v>
      </c>
      <c r="K40" s="193">
        <f t="shared" si="5"/>
        <v>330.8755760368664</v>
      </c>
      <c r="L40" s="193">
        <f t="shared" si="5"/>
        <v>245.84929757343554</v>
      </c>
      <c r="M40" s="193">
        <f t="shared" si="5"/>
        <v>219.36936936936937</v>
      </c>
    </row>
    <row r="41" spans="1:13" ht="15">
      <c r="A41" s="187">
        <v>2006</v>
      </c>
      <c r="B41" s="301">
        <f>B16/B6*100</f>
        <v>211.4986769304787</v>
      </c>
      <c r="C41" s="193">
        <f aca="true" t="shared" si="6" ref="C41:M41">C16/C6*100</f>
        <v>149.20541494997056</v>
      </c>
      <c r="D41" s="193">
        <f t="shared" si="6"/>
        <v>261.26327557294576</v>
      </c>
      <c r="E41" s="193">
        <f t="shared" si="6"/>
        <v>210.4018912529551</v>
      </c>
      <c r="F41" s="193">
        <f t="shared" si="6"/>
        <v>181.47100424328147</v>
      </c>
      <c r="G41" s="193">
        <f t="shared" si="6"/>
        <v>190.1720714758438</v>
      </c>
      <c r="H41" s="193">
        <f t="shared" si="6"/>
        <v>317.21311475409834</v>
      </c>
      <c r="I41" s="193">
        <f t="shared" si="6"/>
        <v>263.5900700190961</v>
      </c>
      <c r="J41" s="193">
        <f t="shared" si="6"/>
        <v>242.05729166666666</v>
      </c>
      <c r="K41" s="193">
        <f t="shared" si="6"/>
        <v>337.0967741935484</v>
      </c>
      <c r="L41" s="193">
        <f t="shared" si="6"/>
        <v>245.21072796934865</v>
      </c>
      <c r="M41" s="193">
        <f t="shared" si="6"/>
        <v>232.43243243243242</v>
      </c>
    </row>
    <row r="42" spans="1:13" ht="15">
      <c r="A42" s="187">
        <v>2007</v>
      </c>
      <c r="B42" s="301">
        <f>B17/B6*100</f>
        <v>212.62929997594418</v>
      </c>
      <c r="C42" s="193">
        <f aca="true" t="shared" si="7" ref="C42:M42">C17/C6*100</f>
        <v>150.20600353148913</v>
      </c>
      <c r="D42" s="193">
        <f t="shared" si="7"/>
        <v>263.38736724427054</v>
      </c>
      <c r="E42" s="193">
        <f t="shared" si="7"/>
        <v>213.09692671394797</v>
      </c>
      <c r="F42" s="193">
        <f t="shared" si="7"/>
        <v>180.26874115983026</v>
      </c>
      <c r="G42" s="193">
        <f t="shared" si="7"/>
        <v>188.31899404367968</v>
      </c>
      <c r="H42" s="193">
        <f t="shared" si="7"/>
        <v>333.60655737704917</v>
      </c>
      <c r="I42" s="193">
        <f t="shared" si="7"/>
        <v>263.2718014003819</v>
      </c>
      <c r="J42" s="193">
        <f t="shared" si="7"/>
        <v>247.265625</v>
      </c>
      <c r="K42" s="193">
        <f t="shared" si="7"/>
        <v>343.778801843318</v>
      </c>
      <c r="L42" s="193">
        <f t="shared" si="7"/>
        <v>246.6155810983397</v>
      </c>
      <c r="M42" s="193">
        <f t="shared" si="7"/>
        <v>231.75675675675674</v>
      </c>
    </row>
    <row r="43" spans="1:13" ht="15">
      <c r="A43" s="187">
        <v>2008</v>
      </c>
      <c r="B43" s="301">
        <f>B18/B6*100</f>
        <v>214.03055087803705</v>
      </c>
      <c r="C43" s="193">
        <f aca="true" t="shared" si="8" ref="C43:M43">C18/C6*100</f>
        <v>150.4120070629782</v>
      </c>
      <c r="D43" s="193">
        <f t="shared" si="8"/>
        <v>266.0145332588038</v>
      </c>
      <c r="E43" s="193">
        <f t="shared" si="8"/>
        <v>213.3806146572104</v>
      </c>
      <c r="F43" s="193">
        <f t="shared" si="8"/>
        <v>179.4908062234795</v>
      </c>
      <c r="G43" s="193">
        <f t="shared" si="8"/>
        <v>190.53606882859034</v>
      </c>
      <c r="H43" s="193">
        <f t="shared" si="8"/>
        <v>345.08196721311475</v>
      </c>
      <c r="I43" s="193">
        <f t="shared" si="8"/>
        <v>264.16295353278167</v>
      </c>
      <c r="J43" s="193">
        <f t="shared" si="8"/>
        <v>249.73958333333334</v>
      </c>
      <c r="K43" s="193">
        <f t="shared" si="8"/>
        <v>351.1520737327189</v>
      </c>
      <c r="L43" s="193">
        <f t="shared" si="8"/>
        <v>247.38186462324393</v>
      </c>
      <c r="M43" s="193">
        <f t="shared" si="8"/>
        <v>234.68468468468467</v>
      </c>
    </row>
    <row r="44" spans="1:13" ht="15">
      <c r="A44" s="187">
        <v>2009</v>
      </c>
      <c r="B44" s="301">
        <f>B19/B6*100</f>
        <v>215.86480635073372</v>
      </c>
      <c r="C44" s="193">
        <f aca="true" t="shared" si="9" ref="C44:M44">C19/C6*100</f>
        <v>153.1489111241907</v>
      </c>
      <c r="D44" s="193">
        <f t="shared" si="9"/>
        <v>268.64169927333705</v>
      </c>
      <c r="E44" s="193">
        <f t="shared" si="9"/>
        <v>213.28605200945626</v>
      </c>
      <c r="F44" s="193">
        <f t="shared" si="9"/>
        <v>177.58132956152758</v>
      </c>
      <c r="G44" s="193">
        <f t="shared" si="9"/>
        <v>191.5287888815354</v>
      </c>
      <c r="H44" s="193">
        <f t="shared" si="9"/>
        <v>345.9016393442623</v>
      </c>
      <c r="I44" s="193">
        <f t="shared" si="9"/>
        <v>267.40929344366646</v>
      </c>
      <c r="J44" s="193">
        <f t="shared" si="9"/>
        <v>252.86458333333334</v>
      </c>
      <c r="K44" s="193">
        <f t="shared" si="9"/>
        <v>364.7465437788018</v>
      </c>
      <c r="L44" s="193">
        <f t="shared" si="9"/>
        <v>251.08556832694765</v>
      </c>
      <c r="M44" s="193">
        <f t="shared" si="9"/>
        <v>229.27927927927928</v>
      </c>
    </row>
    <row r="45" spans="1:13" ht="15">
      <c r="A45" s="187">
        <v>2010</v>
      </c>
      <c r="B45" s="301">
        <f>B20/B6*100</f>
        <v>217.3983642049555</v>
      </c>
      <c r="C45" s="193">
        <f aca="true" t="shared" si="10" ref="C45:M45">C20/C6*100</f>
        <v>153.23719835197173</v>
      </c>
      <c r="D45" s="193">
        <f t="shared" si="10"/>
        <v>269.75964225824487</v>
      </c>
      <c r="E45" s="193">
        <f t="shared" si="10"/>
        <v>214.08983451536642</v>
      </c>
      <c r="F45" s="193">
        <f t="shared" si="10"/>
        <v>181.1881188118812</v>
      </c>
      <c r="G45" s="193">
        <f t="shared" si="10"/>
        <v>190.83388484447386</v>
      </c>
      <c r="H45" s="193">
        <f t="shared" si="10"/>
        <v>348.3606557377049</v>
      </c>
      <c r="I45" s="193">
        <f t="shared" si="10"/>
        <v>268.3004455760662</v>
      </c>
      <c r="J45" s="193">
        <f t="shared" si="10"/>
        <v>260.3515625</v>
      </c>
      <c r="K45" s="193">
        <f t="shared" si="10"/>
        <v>370.04608294930875</v>
      </c>
      <c r="L45" s="193">
        <f t="shared" si="10"/>
        <v>255.55555555555554</v>
      </c>
      <c r="M45" s="193">
        <f t="shared" si="10"/>
        <v>228.15315315315314</v>
      </c>
    </row>
    <row r="46" spans="1:13" ht="15">
      <c r="A46" s="187">
        <v>2011</v>
      </c>
      <c r="B46" s="301">
        <f aca="true" t="shared" si="11" ref="B46:B54">B21/B$6*100</f>
        <v>219.35891267741158</v>
      </c>
      <c r="C46" s="193">
        <f aca="true" t="shared" si="12" ref="C46:M46">C21/C$6*100</f>
        <v>154.09064155385522</v>
      </c>
      <c r="D46" s="193">
        <f t="shared" si="12"/>
        <v>270.2068194522079</v>
      </c>
      <c r="E46" s="193">
        <f t="shared" si="12"/>
        <v>213.9952718676123</v>
      </c>
      <c r="F46" s="193">
        <f t="shared" si="12"/>
        <v>184.65346534653466</v>
      </c>
      <c r="G46" s="193">
        <f t="shared" si="12"/>
        <v>193.67968232958304</v>
      </c>
      <c r="H46" s="193">
        <f t="shared" si="12"/>
        <v>346.72131147540983</v>
      </c>
      <c r="I46" s="193">
        <f t="shared" si="12"/>
        <v>270.4646721833227</v>
      </c>
      <c r="J46" s="193">
        <f t="shared" si="12"/>
        <v>261.19791666666663</v>
      </c>
      <c r="K46" s="193">
        <f t="shared" si="12"/>
        <v>378.110599078341</v>
      </c>
      <c r="L46" s="193">
        <f t="shared" si="12"/>
        <v>262.7075351213282</v>
      </c>
      <c r="M46" s="193">
        <f t="shared" si="12"/>
        <v>232.65765765765764</v>
      </c>
    </row>
    <row r="47" spans="1:13" ht="15">
      <c r="A47" s="187">
        <v>2012</v>
      </c>
      <c r="B47" s="301">
        <f t="shared" si="11"/>
        <v>221.54197738753908</v>
      </c>
      <c r="C47" s="193">
        <f aca="true" t="shared" si="13" ref="C47:M47">C22/C$6*100</f>
        <v>153.8846380223661</v>
      </c>
      <c r="D47" s="193">
        <f t="shared" si="13"/>
        <v>274.62269424259364</v>
      </c>
      <c r="E47" s="193">
        <f t="shared" si="13"/>
        <v>214.60992907801418</v>
      </c>
      <c r="F47" s="193">
        <f t="shared" si="13"/>
        <v>186.28005657708627</v>
      </c>
      <c r="G47" s="193">
        <f t="shared" si="13"/>
        <v>196.32693580410324</v>
      </c>
      <c r="H47" s="193">
        <f t="shared" si="13"/>
        <v>352.45901639344265</v>
      </c>
      <c r="I47" s="193">
        <f t="shared" si="13"/>
        <v>272.6925525143221</v>
      </c>
      <c r="J47" s="193">
        <f t="shared" si="13"/>
        <v>269.40104166666663</v>
      </c>
      <c r="K47" s="193">
        <f t="shared" si="13"/>
        <v>376.9585253456221</v>
      </c>
      <c r="L47" s="193">
        <f t="shared" si="13"/>
        <v>263.7292464878672</v>
      </c>
      <c r="M47" s="193">
        <f t="shared" si="13"/>
        <v>233.55855855855853</v>
      </c>
    </row>
    <row r="48" spans="1:13" ht="15">
      <c r="A48" s="187">
        <v>2013</v>
      </c>
      <c r="B48" s="301">
        <f t="shared" si="11"/>
        <v>223.2920375270628</v>
      </c>
      <c r="C48" s="193">
        <f aca="true" t="shared" si="14" ref="C48:M48">C23/C$6*100</f>
        <v>158.0929958799294</v>
      </c>
      <c r="D48" s="193">
        <f t="shared" si="14"/>
        <v>278.87087758524314</v>
      </c>
      <c r="E48" s="193">
        <f t="shared" si="14"/>
        <v>217.21040189125293</v>
      </c>
      <c r="F48" s="193">
        <f t="shared" si="14"/>
        <v>185.2899575671853</v>
      </c>
      <c r="G48" s="193">
        <f t="shared" si="14"/>
        <v>196.06221045665123</v>
      </c>
      <c r="H48" s="193">
        <f t="shared" si="14"/>
        <v>344.2622950819672</v>
      </c>
      <c r="I48" s="193">
        <f t="shared" si="14"/>
        <v>273.3927434754933</v>
      </c>
      <c r="J48" s="193">
        <f t="shared" si="14"/>
        <v>269.59635416666663</v>
      </c>
      <c r="K48" s="193">
        <f t="shared" si="14"/>
        <v>379.95391705069125</v>
      </c>
      <c r="L48" s="193">
        <f t="shared" si="14"/>
        <v>267.17752234993617</v>
      </c>
      <c r="M48" s="193">
        <f t="shared" si="14"/>
        <v>232.43243243243242</v>
      </c>
    </row>
    <row r="49" spans="1:13" ht="15">
      <c r="A49" s="187">
        <v>2014</v>
      </c>
      <c r="B49" s="301">
        <f t="shared" si="11"/>
        <v>224.71734423863361</v>
      </c>
      <c r="C49" s="193">
        <f aca="true" t="shared" si="15" ref="C49:M49">C24/C$6*100</f>
        <v>159.53502060035314</v>
      </c>
      <c r="D49" s="193">
        <f t="shared" si="15"/>
        <v>280.0447177193963</v>
      </c>
      <c r="E49" s="193">
        <f t="shared" si="15"/>
        <v>216.97399527186764</v>
      </c>
      <c r="F49" s="193">
        <f t="shared" si="15"/>
        <v>184.01697312588402</v>
      </c>
      <c r="G49" s="193">
        <f t="shared" si="15"/>
        <v>197.3196558570483</v>
      </c>
      <c r="H49" s="193">
        <f t="shared" si="15"/>
        <v>347.54098360655735</v>
      </c>
      <c r="I49" s="193">
        <f t="shared" si="15"/>
        <v>274.41120305537873</v>
      </c>
      <c r="J49" s="193">
        <f t="shared" si="15"/>
        <v>272.72135416666663</v>
      </c>
      <c r="K49" s="193">
        <f t="shared" si="15"/>
        <v>381.7972350230415</v>
      </c>
      <c r="L49" s="193">
        <f t="shared" si="15"/>
        <v>274.20178799489145</v>
      </c>
      <c r="M49" s="193">
        <f t="shared" si="15"/>
        <v>237.16216216216216</v>
      </c>
    </row>
    <row r="50" spans="1:13" ht="15">
      <c r="A50" s="187">
        <v>2015</v>
      </c>
      <c r="B50" s="301">
        <f t="shared" si="11"/>
        <v>226.25691604522493</v>
      </c>
      <c r="C50" s="193">
        <f>C25/C$6*100</f>
        <v>159.94702766333137</v>
      </c>
      <c r="D50" s="193">
        <f aca="true" t="shared" si="16" ref="D50:M50">D25/D$6*100</f>
        <v>282.33650083845725</v>
      </c>
      <c r="E50" s="193">
        <f t="shared" si="16"/>
        <v>217.87234042553192</v>
      </c>
      <c r="F50" s="193">
        <f t="shared" si="16"/>
        <v>184.44130127298445</v>
      </c>
      <c r="G50" s="193">
        <f t="shared" si="16"/>
        <v>198.3454665784249</v>
      </c>
      <c r="H50" s="193">
        <f t="shared" si="16"/>
        <v>365.57377049180326</v>
      </c>
      <c r="I50" s="193">
        <f t="shared" si="16"/>
        <v>280.7765754296626</v>
      </c>
      <c r="J50" s="193">
        <f t="shared" si="16"/>
        <v>272.78645833333337</v>
      </c>
      <c r="K50" s="193">
        <f t="shared" si="16"/>
        <v>382.258064516129</v>
      </c>
      <c r="L50" s="193">
        <f t="shared" si="16"/>
        <v>275.3512132822478</v>
      </c>
      <c r="M50" s="193">
        <f t="shared" si="16"/>
        <v>239.63963963963963</v>
      </c>
    </row>
    <row r="51" spans="1:13" ht="15">
      <c r="A51" s="187">
        <v>2016</v>
      </c>
      <c r="B51" s="301">
        <f t="shared" si="11"/>
        <v>227.3875390906904</v>
      </c>
      <c r="C51" s="193">
        <f>C26/C$6*100</f>
        <v>159.12301353737493</v>
      </c>
      <c r="D51" s="193">
        <f aca="true" t="shared" si="17" ref="D51:M51">D26/D$6*100</f>
        <v>284.8518725544997</v>
      </c>
      <c r="E51" s="193">
        <f t="shared" si="17"/>
        <v>218.53427895981085</v>
      </c>
      <c r="F51" s="193">
        <f t="shared" si="17"/>
        <v>185.57284299858557</v>
      </c>
      <c r="G51" s="193">
        <f t="shared" si="17"/>
        <v>198.2792852415619</v>
      </c>
      <c r="H51" s="193">
        <f t="shared" si="17"/>
        <v>368.8524590163934</v>
      </c>
      <c r="I51" s="193">
        <f t="shared" si="17"/>
        <v>279.439847231063</v>
      </c>
      <c r="J51" s="193">
        <f t="shared" si="17"/>
        <v>277.86458333333337</v>
      </c>
      <c r="K51" s="193">
        <f t="shared" si="17"/>
        <v>381.7972350230415</v>
      </c>
      <c r="L51" s="193">
        <f t="shared" si="17"/>
        <v>284.0357598978289</v>
      </c>
      <c r="M51" s="193">
        <f t="shared" si="17"/>
        <v>243.24324324324326</v>
      </c>
    </row>
    <row r="52" spans="1:13" ht="15">
      <c r="A52" s="187">
        <v>2017</v>
      </c>
      <c r="B52" s="301">
        <f t="shared" si="11"/>
        <v>229.21578061101755</v>
      </c>
      <c r="C52" s="193">
        <f>C27/C$6*100</f>
        <v>162.62507357268981</v>
      </c>
      <c r="D52" s="193">
        <f aca="true" t="shared" si="18" ref="D52:M54">D27/D$6*100</f>
        <v>288.20570150922305</v>
      </c>
      <c r="E52" s="193">
        <f t="shared" si="18"/>
        <v>217.02127659574467</v>
      </c>
      <c r="F52" s="193">
        <f t="shared" si="18"/>
        <v>184.44130127298445</v>
      </c>
      <c r="G52" s="193">
        <f t="shared" si="18"/>
        <v>199.83454665784248</v>
      </c>
      <c r="H52" s="193">
        <f t="shared" si="18"/>
        <v>373.77049180327873</v>
      </c>
      <c r="I52" s="193">
        <f t="shared" si="18"/>
        <v>279.12157861234886</v>
      </c>
      <c r="J52" s="193">
        <f t="shared" si="18"/>
        <v>282.8125</v>
      </c>
      <c r="K52" s="193">
        <f t="shared" si="18"/>
        <v>382.02764976958525</v>
      </c>
      <c r="L52" s="193">
        <f t="shared" si="18"/>
        <v>289.6551724137931</v>
      </c>
      <c r="M52" s="193">
        <f t="shared" si="18"/>
        <v>244.14414414414415</v>
      </c>
    </row>
    <row r="53" spans="1:13" ht="15">
      <c r="A53" s="187">
        <v>2018</v>
      </c>
      <c r="B53" s="301">
        <f t="shared" si="11"/>
        <v>230.80346403656483</v>
      </c>
      <c r="C53" s="193">
        <f>C28/C$6*100</f>
        <v>165.50912301353736</v>
      </c>
      <c r="D53" s="193">
        <f t="shared" si="18"/>
        <v>290.7769703745109</v>
      </c>
      <c r="E53" s="193">
        <f t="shared" si="18"/>
        <v>217.21040189125293</v>
      </c>
      <c r="F53" s="193">
        <f t="shared" si="18"/>
        <v>186.42149929278642</v>
      </c>
      <c r="G53" s="193">
        <f t="shared" si="18"/>
        <v>199.00727994705494</v>
      </c>
      <c r="H53" s="193">
        <f t="shared" si="18"/>
        <v>386.88524590163934</v>
      </c>
      <c r="I53" s="193">
        <f t="shared" si="18"/>
        <v>281.09484404837684</v>
      </c>
      <c r="J53" s="193">
        <f t="shared" si="18"/>
        <v>285.7421875</v>
      </c>
      <c r="K53" s="193">
        <f t="shared" si="18"/>
        <v>385.02304147465435</v>
      </c>
      <c r="L53" s="193">
        <f t="shared" si="18"/>
        <v>290.67688378033205</v>
      </c>
      <c r="M53" s="193">
        <f t="shared" si="18"/>
        <v>244.14414414414415</v>
      </c>
    </row>
    <row r="54" spans="1:13" ht="15.75" thickBot="1">
      <c r="A54" s="174">
        <v>2019</v>
      </c>
      <c r="B54" s="298">
        <f t="shared" si="11"/>
        <v>233.0226124609093</v>
      </c>
      <c r="C54" s="200">
        <f>C29/C$6*100</f>
        <v>167.62801648028253</v>
      </c>
      <c r="D54" s="200">
        <f t="shared" si="18"/>
        <v>294.96925656791507</v>
      </c>
      <c r="E54" s="200">
        <f t="shared" si="18"/>
        <v>219.47990543735222</v>
      </c>
      <c r="F54" s="200">
        <f t="shared" si="18"/>
        <v>186.56294200848654</v>
      </c>
      <c r="G54" s="200">
        <f t="shared" si="18"/>
        <v>199.80145598941098</v>
      </c>
      <c r="H54" s="200">
        <f t="shared" si="18"/>
        <v>387.7049180327869</v>
      </c>
      <c r="I54" s="200">
        <f t="shared" si="18"/>
        <v>284.21387651177594</v>
      </c>
      <c r="J54" s="200">
        <f t="shared" si="18"/>
        <v>286.39322916666663</v>
      </c>
      <c r="K54" s="200">
        <f t="shared" si="18"/>
        <v>389.4009216589862</v>
      </c>
      <c r="L54" s="200">
        <f t="shared" si="18"/>
        <v>296.55172413793105</v>
      </c>
      <c r="M54" s="200">
        <f t="shared" si="18"/>
        <v>249.32432432432435</v>
      </c>
    </row>
    <row r="55" spans="1:13" ht="15">
      <c r="A55" s="391" t="s">
        <v>635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</row>
    <row r="56" spans="1:13" ht="15.75">
      <c r="A56" s="439" t="s">
        <v>202</v>
      </c>
      <c r="B56" s="439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</row>
    <row r="57" spans="1:13" ht="15">
      <c r="A57" s="440" t="s">
        <v>203</v>
      </c>
      <c r="B57" s="440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</row>
  </sheetData>
  <sheetProtection/>
  <mergeCells count="8">
    <mergeCell ref="A56:M56"/>
    <mergeCell ref="A57:M57"/>
    <mergeCell ref="A1:M1"/>
    <mergeCell ref="A2:M2"/>
    <mergeCell ref="C3:M3"/>
    <mergeCell ref="A30:M30"/>
    <mergeCell ref="A5:M5"/>
    <mergeCell ref="A55:M55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7"/>
  <sheetViews>
    <sheetView zoomScale="85" zoomScaleNormal="85" zoomScalePageLayoutView="0" workbookViewId="0" topLeftCell="A1">
      <selection activeCell="O44" sqref="O44"/>
    </sheetView>
  </sheetViews>
  <sheetFormatPr defaultColWidth="11.421875" defaultRowHeight="12.75"/>
  <cols>
    <col min="1" max="1" width="9.8515625" style="25" customWidth="1"/>
    <col min="2" max="3" width="7.8515625" style="25" bestFit="1" customWidth="1"/>
    <col min="4" max="4" width="9.28125" style="25" bestFit="1" customWidth="1"/>
    <col min="5" max="5" width="8.8515625" style="25" bestFit="1" customWidth="1"/>
    <col min="6" max="6" width="14.140625" style="25" bestFit="1" customWidth="1"/>
    <col min="7" max="7" width="9.28125" style="25" bestFit="1" customWidth="1"/>
    <col min="8" max="8" width="9.7109375" style="25" bestFit="1" customWidth="1"/>
    <col min="9" max="9" width="9.00390625" style="25" customWidth="1"/>
    <col min="10" max="10" width="9.28125" style="25" bestFit="1" customWidth="1"/>
    <col min="11" max="11" width="10.28125" style="25" bestFit="1" customWidth="1"/>
    <col min="12" max="12" width="9.28125" style="25" bestFit="1" customWidth="1"/>
    <col min="13" max="13" width="15.140625" style="25" bestFit="1" customWidth="1"/>
    <col min="14" max="16384" width="11.421875" style="25" customWidth="1"/>
  </cols>
  <sheetData>
    <row r="1" spans="1:13" ht="18">
      <c r="A1" s="445" t="s">
        <v>265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15.75" customHeight="1" thickBot="1">
      <c r="A2" s="390" t="s">
        <v>464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 customHeight="1">
      <c r="A3" s="347"/>
      <c r="B3" s="365" t="s">
        <v>134</v>
      </c>
      <c r="C3" s="446" t="s">
        <v>122</v>
      </c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3" ht="15.75" customHeight="1">
      <c r="A4" s="188" t="s">
        <v>4</v>
      </c>
      <c r="B4" s="198"/>
      <c r="C4" s="195" t="s">
        <v>123</v>
      </c>
      <c r="D4" s="195" t="s">
        <v>124</v>
      </c>
      <c r="E4" s="195" t="s">
        <v>125</v>
      </c>
      <c r="F4" s="195" t="s">
        <v>126</v>
      </c>
      <c r="G4" s="195" t="s">
        <v>127</v>
      </c>
      <c r="H4" s="195" t="s">
        <v>128</v>
      </c>
      <c r="I4" s="195" t="s">
        <v>129</v>
      </c>
      <c r="J4" s="195" t="s">
        <v>130</v>
      </c>
      <c r="K4" s="195" t="s">
        <v>131</v>
      </c>
      <c r="L4" s="195" t="s">
        <v>132</v>
      </c>
      <c r="M4" s="195" t="s">
        <v>133</v>
      </c>
    </row>
    <row r="5" spans="1:13" ht="15.75" customHeight="1">
      <c r="A5" s="439" t="s">
        <v>76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13" ht="15.75" customHeight="1">
      <c r="A6" s="187">
        <v>1960</v>
      </c>
      <c r="B6" s="299">
        <f aca="true" t="shared" si="0" ref="B6:B28">SUM(C6:M6)</f>
        <v>4143</v>
      </c>
      <c r="C6" s="191">
        <v>1440</v>
      </c>
      <c r="D6" s="191">
        <v>355</v>
      </c>
      <c r="E6" s="191">
        <v>356</v>
      </c>
      <c r="F6" s="191">
        <v>103</v>
      </c>
      <c r="G6" s="191">
        <v>1065</v>
      </c>
      <c r="H6" s="191">
        <v>22</v>
      </c>
      <c r="I6" s="191">
        <v>301</v>
      </c>
      <c r="J6" s="191">
        <v>302</v>
      </c>
      <c r="K6" s="191">
        <v>54</v>
      </c>
      <c r="L6" s="191">
        <v>66</v>
      </c>
      <c r="M6" s="191">
        <v>79</v>
      </c>
    </row>
    <row r="7" spans="1:13" ht="15.75" customHeight="1">
      <c r="A7" s="187">
        <v>1970</v>
      </c>
      <c r="B7" s="299">
        <f t="shared" si="0"/>
        <v>7046</v>
      </c>
      <c r="C7" s="191">
        <v>1743</v>
      </c>
      <c r="D7" s="191">
        <v>877</v>
      </c>
      <c r="E7" s="191">
        <v>727</v>
      </c>
      <c r="F7" s="191">
        <v>317</v>
      </c>
      <c r="G7" s="191">
        <v>1649</v>
      </c>
      <c r="H7" s="191">
        <v>45</v>
      </c>
      <c r="I7" s="191">
        <v>655</v>
      </c>
      <c r="J7" s="191">
        <v>671</v>
      </c>
      <c r="K7" s="191">
        <v>143</v>
      </c>
      <c r="L7" s="191">
        <v>122</v>
      </c>
      <c r="M7" s="191">
        <v>97</v>
      </c>
    </row>
    <row r="8" spans="1:13" ht="15.75" customHeight="1">
      <c r="A8" s="187">
        <v>1980</v>
      </c>
      <c r="B8" s="299">
        <f t="shared" si="0"/>
        <v>9302</v>
      </c>
      <c r="C8" s="191">
        <v>2203</v>
      </c>
      <c r="D8" s="191">
        <v>1170</v>
      </c>
      <c r="E8" s="191">
        <v>1001</v>
      </c>
      <c r="F8" s="191">
        <v>491</v>
      </c>
      <c r="G8" s="191">
        <v>2040</v>
      </c>
      <c r="H8" s="191">
        <v>80</v>
      </c>
      <c r="I8" s="191">
        <v>860</v>
      </c>
      <c r="J8" s="191">
        <v>860</v>
      </c>
      <c r="K8" s="191">
        <v>204</v>
      </c>
      <c r="L8" s="191">
        <v>260</v>
      </c>
      <c r="M8" s="191">
        <v>133</v>
      </c>
    </row>
    <row r="9" spans="1:13" ht="15.75" customHeight="1">
      <c r="A9" s="187">
        <v>1990</v>
      </c>
      <c r="B9" s="299">
        <f t="shared" si="0"/>
        <v>10909</v>
      </c>
      <c r="C9" s="191">
        <v>2192</v>
      </c>
      <c r="D9" s="191">
        <v>1487</v>
      </c>
      <c r="E9" s="191">
        <v>1271</v>
      </c>
      <c r="F9" s="191">
        <v>526</v>
      </c>
      <c r="G9" s="191">
        <v>2195</v>
      </c>
      <c r="H9" s="191">
        <v>77</v>
      </c>
      <c r="I9" s="191">
        <v>1064</v>
      </c>
      <c r="J9" s="191">
        <v>1085</v>
      </c>
      <c r="K9" s="191">
        <v>325</v>
      </c>
      <c r="L9" s="191">
        <v>431</v>
      </c>
      <c r="M9" s="191">
        <v>256</v>
      </c>
    </row>
    <row r="10" spans="1:13" ht="15.75" customHeight="1">
      <c r="A10" s="187">
        <v>2000</v>
      </c>
      <c r="B10" s="299">
        <f t="shared" si="0"/>
        <v>11320</v>
      </c>
      <c r="C10" s="191">
        <v>2143</v>
      </c>
      <c r="D10" s="191">
        <v>1629</v>
      </c>
      <c r="E10" s="191">
        <v>1185</v>
      </c>
      <c r="F10" s="191">
        <v>522</v>
      </c>
      <c r="G10" s="191">
        <v>2136</v>
      </c>
      <c r="H10" s="191">
        <v>74</v>
      </c>
      <c r="I10" s="191">
        <v>1351</v>
      </c>
      <c r="J10" s="191">
        <v>1211</v>
      </c>
      <c r="K10" s="191">
        <v>339</v>
      </c>
      <c r="L10" s="191">
        <v>465</v>
      </c>
      <c r="M10" s="191">
        <v>265</v>
      </c>
    </row>
    <row r="11" spans="1:13" ht="15.75" customHeight="1">
      <c r="A11" s="187">
        <v>2001</v>
      </c>
      <c r="B11" s="299">
        <f t="shared" si="0"/>
        <v>11495</v>
      </c>
      <c r="C11" s="191">
        <v>2112</v>
      </c>
      <c r="D11" s="191">
        <v>1651</v>
      </c>
      <c r="E11" s="191">
        <v>1201</v>
      </c>
      <c r="F11" s="191">
        <v>553</v>
      </c>
      <c r="G11" s="191">
        <v>2151</v>
      </c>
      <c r="H11" s="191">
        <v>71</v>
      </c>
      <c r="I11" s="191">
        <v>1366</v>
      </c>
      <c r="J11" s="191">
        <v>1312</v>
      </c>
      <c r="K11" s="191">
        <v>372</v>
      </c>
      <c r="L11" s="191">
        <v>459</v>
      </c>
      <c r="M11" s="191">
        <v>247</v>
      </c>
    </row>
    <row r="12" spans="1:13" ht="15.75" customHeight="1">
      <c r="A12" s="187">
        <v>2002</v>
      </c>
      <c r="B12" s="299">
        <f t="shared" si="0"/>
        <v>11566</v>
      </c>
      <c r="C12" s="191">
        <v>2138</v>
      </c>
      <c r="D12" s="191">
        <v>1675</v>
      </c>
      <c r="E12" s="191">
        <v>1217</v>
      </c>
      <c r="F12" s="191">
        <v>561</v>
      </c>
      <c r="G12" s="191">
        <v>2140</v>
      </c>
      <c r="H12" s="191">
        <v>78</v>
      </c>
      <c r="I12" s="191">
        <v>1355</v>
      </c>
      <c r="J12" s="191">
        <v>1317</v>
      </c>
      <c r="K12" s="191">
        <v>361</v>
      </c>
      <c r="L12" s="191">
        <v>480</v>
      </c>
      <c r="M12" s="191">
        <v>244</v>
      </c>
    </row>
    <row r="13" spans="1:13" ht="15.75" customHeight="1">
      <c r="A13" s="187">
        <v>2003</v>
      </c>
      <c r="B13" s="299">
        <f t="shared" si="0"/>
        <v>11786</v>
      </c>
      <c r="C13" s="191">
        <v>2163</v>
      </c>
      <c r="D13" s="191">
        <v>1699</v>
      </c>
      <c r="E13" s="191">
        <v>1236</v>
      </c>
      <c r="F13" s="191">
        <v>554</v>
      </c>
      <c r="G13" s="191">
        <v>2166</v>
      </c>
      <c r="H13" s="191">
        <v>78</v>
      </c>
      <c r="I13" s="191">
        <v>1413</v>
      </c>
      <c r="J13" s="191">
        <v>1388</v>
      </c>
      <c r="K13" s="191">
        <v>383</v>
      </c>
      <c r="L13" s="191">
        <v>475</v>
      </c>
      <c r="M13" s="191">
        <v>231</v>
      </c>
    </row>
    <row r="14" spans="1:13" ht="15.75" customHeight="1">
      <c r="A14" s="187">
        <v>2004</v>
      </c>
      <c r="B14" s="299">
        <f t="shared" si="0"/>
        <v>11852</v>
      </c>
      <c r="C14" s="191">
        <v>2159</v>
      </c>
      <c r="D14" s="191">
        <v>1653</v>
      </c>
      <c r="E14" s="191">
        <v>1252</v>
      </c>
      <c r="F14" s="191">
        <v>532</v>
      </c>
      <c r="G14" s="191">
        <v>2245</v>
      </c>
      <c r="H14" s="191">
        <v>86</v>
      </c>
      <c r="I14" s="191">
        <v>1408</v>
      </c>
      <c r="J14" s="191">
        <v>1369</v>
      </c>
      <c r="K14" s="191">
        <v>450</v>
      </c>
      <c r="L14" s="191">
        <v>472</v>
      </c>
      <c r="M14" s="191">
        <v>226</v>
      </c>
    </row>
    <row r="15" spans="1:13" ht="15.75" customHeight="1">
      <c r="A15" s="187">
        <v>2005</v>
      </c>
      <c r="B15" s="299">
        <f t="shared" si="0"/>
        <v>11917</v>
      </c>
      <c r="C15" s="191">
        <v>2170</v>
      </c>
      <c r="D15" s="191">
        <v>1641</v>
      </c>
      <c r="E15" s="191">
        <v>1247</v>
      </c>
      <c r="F15" s="191">
        <v>518</v>
      </c>
      <c r="G15" s="191">
        <v>2253</v>
      </c>
      <c r="H15" s="191">
        <v>82</v>
      </c>
      <c r="I15" s="191">
        <v>1430</v>
      </c>
      <c r="J15" s="191">
        <v>1386</v>
      </c>
      <c r="K15" s="191">
        <v>459</v>
      </c>
      <c r="L15" s="191">
        <v>495</v>
      </c>
      <c r="M15" s="191">
        <v>236</v>
      </c>
    </row>
    <row r="16" spans="1:13" ht="15.75" customHeight="1">
      <c r="A16" s="187">
        <v>2006</v>
      </c>
      <c r="B16" s="299">
        <f t="shared" si="0"/>
        <v>11907</v>
      </c>
      <c r="C16" s="191">
        <v>2177</v>
      </c>
      <c r="D16" s="191">
        <v>1614</v>
      </c>
      <c r="E16" s="191">
        <v>1241</v>
      </c>
      <c r="F16" s="191">
        <v>524</v>
      </c>
      <c r="G16" s="191">
        <v>2205</v>
      </c>
      <c r="H16" s="191">
        <v>95</v>
      </c>
      <c r="I16" s="191">
        <v>1439</v>
      </c>
      <c r="J16" s="191">
        <v>1421</v>
      </c>
      <c r="K16" s="191">
        <v>464</v>
      </c>
      <c r="L16" s="191">
        <v>471</v>
      </c>
      <c r="M16" s="191">
        <v>256</v>
      </c>
    </row>
    <row r="17" spans="1:13" ht="15.75" customHeight="1">
      <c r="A17" s="187">
        <v>2007</v>
      </c>
      <c r="B17" s="299">
        <f t="shared" si="0"/>
        <v>11862</v>
      </c>
      <c r="C17" s="191">
        <v>2145</v>
      </c>
      <c r="D17" s="191">
        <v>1609</v>
      </c>
      <c r="E17" s="191">
        <v>1245</v>
      </c>
      <c r="F17" s="191">
        <v>515</v>
      </c>
      <c r="G17" s="191">
        <v>2138</v>
      </c>
      <c r="H17" s="191">
        <v>102</v>
      </c>
      <c r="I17" s="191">
        <v>1435</v>
      </c>
      <c r="J17" s="191">
        <v>1451</v>
      </c>
      <c r="K17" s="191">
        <v>466</v>
      </c>
      <c r="L17" s="191">
        <v>488</v>
      </c>
      <c r="M17" s="191">
        <v>268</v>
      </c>
    </row>
    <row r="18" spans="1:13" ht="15.75" customHeight="1">
      <c r="A18" s="187">
        <v>2008</v>
      </c>
      <c r="B18" s="299">
        <f t="shared" si="0"/>
        <v>11770</v>
      </c>
      <c r="C18" s="191">
        <v>2113</v>
      </c>
      <c r="D18" s="191">
        <v>1615</v>
      </c>
      <c r="E18" s="191">
        <v>1223</v>
      </c>
      <c r="F18" s="191">
        <v>507</v>
      </c>
      <c r="G18" s="191">
        <v>2146</v>
      </c>
      <c r="H18" s="191">
        <v>104</v>
      </c>
      <c r="I18" s="191">
        <v>1412</v>
      </c>
      <c r="J18" s="191">
        <v>1424</v>
      </c>
      <c r="K18" s="191">
        <v>474</v>
      </c>
      <c r="L18" s="191">
        <v>490</v>
      </c>
      <c r="M18" s="191">
        <v>262</v>
      </c>
    </row>
    <row r="19" spans="1:13" ht="15.75" customHeight="1">
      <c r="A19" s="187">
        <v>2009</v>
      </c>
      <c r="B19" s="299">
        <f t="shared" si="0"/>
        <v>11886</v>
      </c>
      <c r="C19" s="191">
        <v>2145</v>
      </c>
      <c r="D19" s="191">
        <v>1627</v>
      </c>
      <c r="E19" s="191">
        <v>1211</v>
      </c>
      <c r="F19" s="191">
        <v>495</v>
      </c>
      <c r="G19" s="191">
        <v>2167</v>
      </c>
      <c r="H19" s="191">
        <v>104</v>
      </c>
      <c r="I19" s="191">
        <v>1445</v>
      </c>
      <c r="J19" s="191">
        <v>1437</v>
      </c>
      <c r="K19" s="191">
        <v>491</v>
      </c>
      <c r="L19" s="191">
        <v>526</v>
      </c>
      <c r="M19" s="191">
        <v>238</v>
      </c>
    </row>
    <row r="20" spans="1:13" ht="15.75" customHeight="1">
      <c r="A20" s="187">
        <v>2010</v>
      </c>
      <c r="B20" s="299">
        <f t="shared" si="0"/>
        <v>12004</v>
      </c>
      <c r="C20" s="191">
        <v>2136</v>
      </c>
      <c r="D20" s="191">
        <v>1639</v>
      </c>
      <c r="E20" s="191">
        <v>1231</v>
      </c>
      <c r="F20" s="191">
        <v>513</v>
      </c>
      <c r="G20" s="191">
        <v>2167</v>
      </c>
      <c r="H20" s="191">
        <v>106</v>
      </c>
      <c r="I20" s="191">
        <v>1443</v>
      </c>
      <c r="J20" s="191">
        <v>1501</v>
      </c>
      <c r="K20" s="191">
        <v>489</v>
      </c>
      <c r="L20" s="191">
        <v>535</v>
      </c>
      <c r="M20" s="191">
        <v>244</v>
      </c>
    </row>
    <row r="21" spans="1:13" ht="15.75" customHeight="1">
      <c r="A21" s="187">
        <v>2011</v>
      </c>
      <c r="B21" s="300">
        <f t="shared" si="0"/>
        <v>12144</v>
      </c>
      <c r="C21" s="192">
        <v>2146</v>
      </c>
      <c r="D21" s="192">
        <v>1641</v>
      </c>
      <c r="E21" s="192">
        <v>1213</v>
      </c>
      <c r="F21" s="192">
        <v>548</v>
      </c>
      <c r="G21" s="192">
        <v>2207</v>
      </c>
      <c r="H21" s="192">
        <v>100</v>
      </c>
      <c r="I21" s="192">
        <v>1478</v>
      </c>
      <c r="J21" s="192">
        <v>1519</v>
      </c>
      <c r="K21" s="192">
        <v>499</v>
      </c>
      <c r="L21" s="192">
        <v>549</v>
      </c>
      <c r="M21" s="192">
        <v>244</v>
      </c>
    </row>
    <row r="22" spans="1:13" ht="15.75" customHeight="1">
      <c r="A22" s="187">
        <v>2012</v>
      </c>
      <c r="B22" s="300">
        <f t="shared" si="0"/>
        <v>12337</v>
      </c>
      <c r="C22" s="192">
        <v>2173</v>
      </c>
      <c r="D22" s="192">
        <v>1706</v>
      </c>
      <c r="E22" s="192">
        <v>1216</v>
      </c>
      <c r="F22" s="192">
        <v>548</v>
      </c>
      <c r="G22" s="192">
        <v>2241</v>
      </c>
      <c r="H22" s="192">
        <v>104</v>
      </c>
      <c r="I22" s="192">
        <v>1475</v>
      </c>
      <c r="J22" s="192">
        <v>1576</v>
      </c>
      <c r="K22" s="192">
        <v>508</v>
      </c>
      <c r="L22" s="192">
        <v>547</v>
      </c>
      <c r="M22" s="192">
        <v>243</v>
      </c>
    </row>
    <row r="23" spans="1:13" ht="15.75" customHeight="1">
      <c r="A23" s="187">
        <v>2013</v>
      </c>
      <c r="B23" s="300">
        <f t="shared" si="0"/>
        <v>12519</v>
      </c>
      <c r="C23" s="192">
        <v>2248</v>
      </c>
      <c r="D23" s="192">
        <v>1752</v>
      </c>
      <c r="E23" s="192">
        <v>1248</v>
      </c>
      <c r="F23" s="192">
        <v>551</v>
      </c>
      <c r="G23" s="192">
        <v>2230</v>
      </c>
      <c r="H23" s="192">
        <v>102</v>
      </c>
      <c r="I23" s="192">
        <v>1493</v>
      </c>
      <c r="J23" s="192">
        <v>1568</v>
      </c>
      <c r="K23" s="192">
        <v>513</v>
      </c>
      <c r="L23" s="192">
        <v>561</v>
      </c>
      <c r="M23" s="192">
        <v>253</v>
      </c>
    </row>
    <row r="24" spans="1:13" ht="15.75" customHeight="1">
      <c r="A24" s="187">
        <v>2014</v>
      </c>
      <c r="B24" s="300">
        <f t="shared" si="0"/>
        <v>12579</v>
      </c>
      <c r="C24" s="192">
        <v>2295</v>
      </c>
      <c r="D24" s="192">
        <v>1749</v>
      </c>
      <c r="E24" s="192">
        <v>1241</v>
      </c>
      <c r="F24" s="192">
        <v>527</v>
      </c>
      <c r="G24" s="192">
        <v>2240</v>
      </c>
      <c r="H24" s="192">
        <v>101</v>
      </c>
      <c r="I24" s="192">
        <v>1500</v>
      </c>
      <c r="J24" s="192">
        <v>1576</v>
      </c>
      <c r="K24" s="192">
        <v>524</v>
      </c>
      <c r="L24" s="192">
        <v>569</v>
      </c>
      <c r="M24" s="192">
        <v>257</v>
      </c>
    </row>
    <row r="25" spans="1:13" ht="15.75" customHeight="1">
      <c r="A25" s="187">
        <v>2015</v>
      </c>
      <c r="B25" s="300">
        <f t="shared" si="0"/>
        <v>12775</v>
      </c>
      <c r="C25" s="192">
        <v>2312</v>
      </c>
      <c r="D25" s="192">
        <v>1784</v>
      </c>
      <c r="E25" s="192">
        <v>1240</v>
      </c>
      <c r="F25" s="192">
        <v>542</v>
      </c>
      <c r="G25" s="192">
        <v>2269</v>
      </c>
      <c r="H25" s="192">
        <v>110</v>
      </c>
      <c r="I25" s="192">
        <v>1569</v>
      </c>
      <c r="J25" s="192">
        <v>1591</v>
      </c>
      <c r="K25" s="192">
        <v>522</v>
      </c>
      <c r="L25" s="192">
        <v>578</v>
      </c>
      <c r="M25" s="192">
        <v>258</v>
      </c>
    </row>
    <row r="26" spans="1:13" ht="15.75" customHeight="1">
      <c r="A26" s="187">
        <v>2016</v>
      </c>
      <c r="B26" s="300">
        <f t="shared" si="0"/>
        <v>12795</v>
      </c>
      <c r="C26" s="192">
        <v>2275</v>
      </c>
      <c r="D26" s="192">
        <v>1823</v>
      </c>
      <c r="E26" s="192">
        <v>1244</v>
      </c>
      <c r="F26" s="192">
        <v>539</v>
      </c>
      <c r="G26" s="192">
        <v>2270</v>
      </c>
      <c r="H26" s="192">
        <v>116</v>
      </c>
      <c r="I26" s="192">
        <v>1517</v>
      </c>
      <c r="J26" s="192">
        <v>1643</v>
      </c>
      <c r="K26" s="192">
        <v>511</v>
      </c>
      <c r="L26" s="192">
        <v>595</v>
      </c>
      <c r="M26" s="192">
        <v>262</v>
      </c>
    </row>
    <row r="27" spans="1:13" ht="15.75" customHeight="1">
      <c r="A27" s="187">
        <v>2017</v>
      </c>
      <c r="B27" s="300">
        <f t="shared" si="0"/>
        <v>12941</v>
      </c>
      <c r="C27" s="192">
        <v>2312</v>
      </c>
      <c r="D27" s="192">
        <v>1883</v>
      </c>
      <c r="E27" s="192">
        <v>1233</v>
      </c>
      <c r="F27" s="192">
        <v>534</v>
      </c>
      <c r="G27" s="192">
        <v>2300</v>
      </c>
      <c r="H27" s="192">
        <v>117</v>
      </c>
      <c r="I27" s="192">
        <v>1521</v>
      </c>
      <c r="J27" s="192">
        <v>1677</v>
      </c>
      <c r="K27" s="192">
        <v>505</v>
      </c>
      <c r="L27" s="192">
        <v>598</v>
      </c>
      <c r="M27" s="192">
        <v>261</v>
      </c>
    </row>
    <row r="28" spans="1:13" ht="15.75" customHeight="1">
      <c r="A28" s="187">
        <v>2018</v>
      </c>
      <c r="B28" s="300">
        <f t="shared" si="0"/>
        <v>13057</v>
      </c>
      <c r="C28" s="192">
        <v>2373</v>
      </c>
      <c r="D28" s="192">
        <v>1907</v>
      </c>
      <c r="E28" s="192">
        <v>1227</v>
      </c>
      <c r="F28" s="192">
        <v>556</v>
      </c>
      <c r="G28" s="192">
        <v>2286</v>
      </c>
      <c r="H28" s="192">
        <v>119</v>
      </c>
      <c r="I28" s="192">
        <v>1519</v>
      </c>
      <c r="J28" s="192">
        <v>1697</v>
      </c>
      <c r="K28" s="192">
        <v>515</v>
      </c>
      <c r="L28" s="192">
        <v>596</v>
      </c>
      <c r="M28" s="192">
        <v>262</v>
      </c>
    </row>
    <row r="29" spans="1:13" ht="15.75" customHeight="1">
      <c r="A29" s="187">
        <v>2019</v>
      </c>
      <c r="B29" s="300">
        <f>SUM(C29:M29)</f>
        <v>13262</v>
      </c>
      <c r="C29" s="192">
        <v>2432</v>
      </c>
      <c r="D29" s="192">
        <v>1954</v>
      </c>
      <c r="E29" s="192">
        <v>1249</v>
      </c>
      <c r="F29" s="192">
        <v>561</v>
      </c>
      <c r="G29" s="192">
        <v>2288</v>
      </c>
      <c r="H29" s="192">
        <v>122</v>
      </c>
      <c r="I29" s="192">
        <v>1537</v>
      </c>
      <c r="J29" s="192">
        <v>1722</v>
      </c>
      <c r="K29" s="192">
        <v>528</v>
      </c>
      <c r="L29" s="192">
        <v>601</v>
      </c>
      <c r="M29" s="192">
        <v>268</v>
      </c>
    </row>
    <row r="30" spans="1:13" ht="15.75" customHeight="1">
      <c r="A30" s="439" t="s">
        <v>23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</row>
    <row r="31" spans="1:13" ht="15.75" customHeight="1">
      <c r="A31" s="187">
        <v>1960</v>
      </c>
      <c r="B31" s="302">
        <f>+B6/16628</f>
        <v>0.24915804666827038</v>
      </c>
      <c r="C31" s="196">
        <f>+C6/3398</f>
        <v>0.42377869334902885</v>
      </c>
      <c r="D31" s="196">
        <f>+D6/1789</f>
        <v>0.19843487982112912</v>
      </c>
      <c r="E31" s="196">
        <f>+E6/2115</f>
        <v>0.16832151300236406</v>
      </c>
      <c r="F31" s="196">
        <f>+F6/1414</f>
        <v>0.07284299858557285</v>
      </c>
      <c r="G31" s="196">
        <f>+G6/3022</f>
        <v>0.35241561879549965</v>
      </c>
      <c r="H31" s="196">
        <f>+H6/122</f>
        <v>0.18032786885245902</v>
      </c>
      <c r="I31" s="196">
        <f>+I6/1571</f>
        <v>0.19159770846594526</v>
      </c>
      <c r="J31" s="196">
        <f>+J6/1536</f>
        <v>0.19661458333333334</v>
      </c>
      <c r="K31" s="196">
        <f>+K6/434</f>
        <v>0.12442396313364056</v>
      </c>
      <c r="L31" s="196">
        <f>+L6/783</f>
        <v>0.0842911877394636</v>
      </c>
      <c r="M31" s="196">
        <f>+M6/444</f>
        <v>0.17792792792792791</v>
      </c>
    </row>
    <row r="32" spans="1:13" ht="15.75" customHeight="1">
      <c r="A32" s="187">
        <v>1970</v>
      </c>
      <c r="B32" s="302">
        <f>+B7/21350</f>
        <v>0.33002341920374706</v>
      </c>
      <c r="C32" s="196">
        <f>+C7/3921</f>
        <v>0.44452945677123185</v>
      </c>
      <c r="D32" s="196">
        <f>+D7/2637</f>
        <v>0.33257489571482746</v>
      </c>
      <c r="E32" s="196">
        <f>+E7/2704</f>
        <v>0.26886094674556216</v>
      </c>
      <c r="F32" s="196">
        <f>+F7/1813</f>
        <v>0.17484831770546055</v>
      </c>
      <c r="G32" s="196">
        <f>+G7/3890</f>
        <v>0.4239074550128535</v>
      </c>
      <c r="H32" s="196">
        <f>+H7/177</f>
        <v>0.2542372881355932</v>
      </c>
      <c r="I32" s="196">
        <f>+I7/2114</f>
        <v>0.3098391674550615</v>
      </c>
      <c r="J32" s="196">
        <f>+J7/2055</f>
        <v>0.32652068126520684</v>
      </c>
      <c r="K32" s="196">
        <f>+K7/660</f>
        <v>0.21666666666666667</v>
      </c>
      <c r="L32" s="196">
        <f>+L7/866</f>
        <v>0.14087759815242495</v>
      </c>
      <c r="M32" s="196">
        <f>+M7/513</f>
        <v>0.18908382066276802</v>
      </c>
    </row>
    <row r="33" spans="1:13" ht="15.75" customHeight="1">
      <c r="A33" s="187">
        <v>1980</v>
      </c>
      <c r="B33" s="302">
        <f>+B8/25215</f>
        <v>0.3689073963910371</v>
      </c>
      <c r="C33" s="196">
        <f>+C8/4606</f>
        <v>0.4782891880156318</v>
      </c>
      <c r="D33" s="196">
        <f>+D8/2970</f>
        <v>0.3939393939393939</v>
      </c>
      <c r="E33" s="196">
        <f>+E8/3186</f>
        <v>0.31418706842435656</v>
      </c>
      <c r="F33" s="196">
        <f>+F8/2098</f>
        <v>0.2340324118207817</v>
      </c>
      <c r="G33" s="196">
        <f>+G8/4551</f>
        <v>0.44825313117996046</v>
      </c>
      <c r="H33" s="196">
        <f>+H8/280</f>
        <v>0.2857142857142857</v>
      </c>
      <c r="I33" s="196">
        <f>+I8/2594</f>
        <v>0.3315343099460293</v>
      </c>
      <c r="J33" s="196">
        <f>+J8/2463</f>
        <v>0.34916768168899714</v>
      </c>
      <c r="K33" s="196">
        <f>+K8/777</f>
        <v>0.2625482625482625</v>
      </c>
      <c r="L33" s="196">
        <f>+L8/1113</f>
        <v>0.23360287511230907</v>
      </c>
      <c r="M33" s="196">
        <f>+M8/577</f>
        <v>0.23050259965337955</v>
      </c>
    </row>
    <row r="34" spans="1:13" ht="15.75" customHeight="1">
      <c r="A34" s="187">
        <v>1990</v>
      </c>
      <c r="B34" s="302">
        <f>+B9/29032</f>
        <v>0.3757577845136401</v>
      </c>
      <c r="C34" s="196">
        <f>+C9/4897</f>
        <v>0.44762099244435366</v>
      </c>
      <c r="D34" s="196">
        <f>+D9/3543</f>
        <v>0.41970081851538243</v>
      </c>
      <c r="E34" s="196">
        <f>+E9/3791</f>
        <v>0.3352677393827486</v>
      </c>
      <c r="F34" s="196">
        <f>+F9/2296</f>
        <v>0.22909407665505227</v>
      </c>
      <c r="G34" s="196">
        <f>+G9/5036</f>
        <v>0.4358617950754567</v>
      </c>
      <c r="H34" s="196">
        <f>+H9/312</f>
        <v>0.2467948717948718</v>
      </c>
      <c r="I34" s="196">
        <f>+I9/3103</f>
        <v>0.3428939735739607</v>
      </c>
      <c r="J34" s="196">
        <f>+J9/2774</f>
        <v>0.3911319394376352</v>
      </c>
      <c r="K34" s="196">
        <f>+K9/989</f>
        <v>0.32861476238624876</v>
      </c>
      <c r="L34" s="196">
        <v>0.304</v>
      </c>
      <c r="M34" s="196">
        <f>+M9/812</f>
        <v>0.31527093596059114</v>
      </c>
    </row>
    <row r="35" spans="1:13" ht="15.75" customHeight="1">
      <c r="A35" s="187">
        <v>2000</v>
      </c>
      <c r="B35" s="302">
        <f>+B10/32863</f>
        <v>0.34446033533152787</v>
      </c>
      <c r="C35" s="196">
        <f>+C10/4927</f>
        <v>0.4349502740004059</v>
      </c>
      <c r="D35" s="196">
        <f>+D10/4381</f>
        <v>0.3718329148596211</v>
      </c>
      <c r="E35" s="196">
        <f>+E10/4233</f>
        <v>0.2799433026222537</v>
      </c>
      <c r="F35" s="196">
        <f>+F10/2556</f>
        <v>0.20422535211267606</v>
      </c>
      <c r="G35" s="196">
        <f>+G10/5454</f>
        <v>0.39163916391639164</v>
      </c>
      <c r="H35" s="196">
        <f>+H10/355</f>
        <v>0.2084507042253521</v>
      </c>
      <c r="I35" s="196">
        <f>+I10/3791</f>
        <v>0.35637035083091534</v>
      </c>
      <c r="J35" s="196">
        <f>+J10/3288</f>
        <v>0.36830900243309</v>
      </c>
      <c r="K35" s="196">
        <f>+K10/1159</f>
        <v>0.2924935289042278</v>
      </c>
      <c r="L35" s="196">
        <f>+L10/1744</f>
        <v>0.2666284403669725</v>
      </c>
      <c r="M35" s="196">
        <f>+M10/975</f>
        <v>0.2717948717948718</v>
      </c>
    </row>
    <row r="36" spans="1:13" ht="15.75" customHeight="1">
      <c r="A36" s="187">
        <v>2001</v>
      </c>
      <c r="B36" s="302">
        <f>+B11/33525</f>
        <v>0.3428784489187174</v>
      </c>
      <c r="C36" s="196">
        <f>+C11/4949</f>
        <v>0.4267528793695696</v>
      </c>
      <c r="D36" s="196">
        <f>+D11/4509</f>
        <v>0.36615657573741406</v>
      </c>
      <c r="E36" s="196">
        <f>+E11/4299</f>
        <v>0.27936729471970223</v>
      </c>
      <c r="F36" s="196">
        <f>+F11/2596</f>
        <v>0.21302003081664098</v>
      </c>
      <c r="G36" s="196">
        <f>+G11/5556</f>
        <v>0.38714902807775375</v>
      </c>
      <c r="H36" s="196">
        <f>+H11/357</f>
        <v>0.19887955182072828</v>
      </c>
      <c r="I36" s="196">
        <f>+I11/3863</f>
        <v>0.3536111830183795</v>
      </c>
      <c r="J36" s="196">
        <f>+J11/3457</f>
        <v>0.379519814868383</v>
      </c>
      <c r="K36" s="196">
        <f>+K11/1207</f>
        <v>0.30820215410107704</v>
      </c>
      <c r="L36" s="196">
        <f>+L11/1754</f>
        <v>0.26168757126567843</v>
      </c>
      <c r="M36" s="196">
        <f>+M11/978</f>
        <v>0.25255623721881393</v>
      </c>
    </row>
    <row r="37" spans="1:13" ht="15.75" customHeight="1">
      <c r="A37" s="187">
        <v>2002</v>
      </c>
      <c r="B37" s="302">
        <f>+B12/33863</f>
        <v>0.3415527271653427</v>
      </c>
      <c r="C37" s="196">
        <f>+C12/5038</f>
        <v>0.4243747518856689</v>
      </c>
      <c r="D37" s="196">
        <f>+D12/4558</f>
        <v>0.3674857393593681</v>
      </c>
      <c r="E37" s="196">
        <f>+E12/4312</f>
        <v>0.2822356215213358</v>
      </c>
      <c r="F37" s="196">
        <f>+F12/2607</f>
        <v>0.21518987341772153</v>
      </c>
      <c r="G37" s="196">
        <f>+G12/5573</f>
        <v>0.3839942580297865</v>
      </c>
      <c r="H37" s="196">
        <f>+H12/366</f>
        <v>0.21311475409836064</v>
      </c>
      <c r="I37" s="196">
        <f>+I12/3886</f>
        <v>0.3486875965002573</v>
      </c>
      <c r="J37" s="196">
        <f>+J12/3516</f>
        <v>0.37457337883959047</v>
      </c>
      <c r="K37" s="196">
        <f>+K12/1229</f>
        <v>0.2937347436940602</v>
      </c>
      <c r="L37" s="196">
        <f>+L12/1805</f>
        <v>0.2659279778393352</v>
      </c>
      <c r="M37" s="196">
        <f>+M12/973</f>
        <v>0.25077081192189105</v>
      </c>
    </row>
    <row r="38" spans="1:13" ht="15.75" customHeight="1">
      <c r="A38" s="187">
        <v>2003</v>
      </c>
      <c r="B38" s="302">
        <f>+B13/34294</f>
        <v>0.3436752784743687</v>
      </c>
      <c r="C38" s="196">
        <f>+C13/5005</f>
        <v>0.43216783216783217</v>
      </c>
      <c r="D38" s="196">
        <f>+D13/4633</f>
        <v>0.36671703000215844</v>
      </c>
      <c r="E38" s="196">
        <f>+E13/4353</f>
        <v>0.2839421088904204</v>
      </c>
      <c r="F38" s="196">
        <f>+F13/2591</f>
        <v>0.21381705905055962</v>
      </c>
      <c r="G38" s="196">
        <f>+G13/5639</f>
        <v>0.3841106579180706</v>
      </c>
      <c r="H38" s="196">
        <f>+H13/373</f>
        <v>0.20911528150134048</v>
      </c>
      <c r="I38" s="196">
        <f>+I13/3993</f>
        <v>0.3538692712246431</v>
      </c>
      <c r="J38" s="196">
        <f>+J13/3625</f>
        <v>0.38289655172413795</v>
      </c>
      <c r="K38" s="196">
        <f>+K13/1301</f>
        <v>0.29438893159108376</v>
      </c>
      <c r="L38" s="196">
        <f>+L13/1834</f>
        <v>0.2589967284623773</v>
      </c>
      <c r="M38" s="196">
        <f>+M13/947</f>
        <v>0.24392819429778248</v>
      </c>
    </row>
    <row r="39" spans="1:13" ht="15.75" customHeight="1">
      <c r="A39" s="187">
        <v>2004</v>
      </c>
      <c r="B39" s="302">
        <f>+B14/34600</f>
        <v>0.3425433526011561</v>
      </c>
      <c r="C39" s="196">
        <f>+C14/5053</f>
        <v>0.4272709281614882</v>
      </c>
      <c r="D39" s="196">
        <f>+D14/4578</f>
        <v>0.3610747051114024</v>
      </c>
      <c r="E39" s="196">
        <f>+E14/4423</f>
        <v>0.28306579244856434</v>
      </c>
      <c r="F39" s="196">
        <f>+F14/2564</f>
        <v>0.20748829953198128</v>
      </c>
      <c r="G39" s="196">
        <f>+G14/5752</f>
        <v>0.3902990264255911</v>
      </c>
      <c r="H39" s="196">
        <f>+H14/368</f>
        <v>0.23369565217391305</v>
      </c>
      <c r="I39" s="196">
        <f>+I14/3996</f>
        <v>0.35235235235235235</v>
      </c>
      <c r="J39" s="196">
        <f>+J14/3634</f>
        <v>0.3767198679141442</v>
      </c>
      <c r="K39" s="196">
        <f>+K14/1414</f>
        <v>0.31824611032531824</v>
      </c>
      <c r="L39" s="196">
        <f>+L14/1872</f>
        <v>0.25213675213675213</v>
      </c>
      <c r="M39" s="196">
        <f>+M14/946</f>
        <v>0.23890063424947147</v>
      </c>
    </row>
    <row r="40" spans="1:13" ht="15.75" customHeight="1">
      <c r="A40" s="187">
        <v>2005</v>
      </c>
      <c r="B40" s="302">
        <f>+B15/34905</f>
        <v>0.34141240509955595</v>
      </c>
      <c r="C40" s="196">
        <f>+C15/5047</f>
        <v>0.42995839112343964</v>
      </c>
      <c r="D40" s="196">
        <f>+D15/4643</f>
        <v>0.35343527891449494</v>
      </c>
      <c r="E40" s="196">
        <f>+E15/4436</f>
        <v>0.2811091073038774</v>
      </c>
      <c r="F40" s="196">
        <f>+F15/2542</f>
        <v>0.2037765538945712</v>
      </c>
      <c r="G40" s="196">
        <f>+G15/5811</f>
        <v>0.38771295818275686</v>
      </c>
      <c r="H40" s="196">
        <f>+H15/366</f>
        <v>0.22404371584699453</v>
      </c>
      <c r="I40" s="196">
        <f>+I15/4076</f>
        <v>0.3508341511285574</v>
      </c>
      <c r="J40" s="196">
        <f>+J15/3649</f>
        <v>0.37983009043573585</v>
      </c>
      <c r="K40" s="196">
        <f>+K15/1436</f>
        <v>0.31963788300835655</v>
      </c>
      <c r="L40" s="196">
        <f>+L15/1925</f>
        <v>0.2571428571428571</v>
      </c>
      <c r="M40" s="196">
        <f>+M15/974</f>
        <v>0.24229979466119098</v>
      </c>
    </row>
    <row r="41" spans="1:13" ht="15.75" customHeight="1">
      <c r="A41" s="187">
        <v>2006</v>
      </c>
      <c r="B41" s="302">
        <f>+B16/35168</f>
        <v>0.3385748407643312</v>
      </c>
      <c r="C41" s="196">
        <f>+C16/5070*1</f>
        <v>0.4293885601577909</v>
      </c>
      <c r="D41" s="196">
        <f>D16/4674*1</f>
        <v>0.3453145057766367</v>
      </c>
      <c r="E41" s="196">
        <f>+E16/4450*1</f>
        <v>0.278876404494382</v>
      </c>
      <c r="F41" s="196">
        <f>+F16/2566*1</f>
        <v>0.20420888542478566</v>
      </c>
      <c r="G41" s="196">
        <f>+G16/5747*1</f>
        <v>0.38367844092570036</v>
      </c>
      <c r="H41" s="196">
        <f>+H16/387</f>
        <v>0.2454780361757106</v>
      </c>
      <c r="I41" s="196">
        <f>+I16/4141</f>
        <v>0.34750060371890845</v>
      </c>
      <c r="J41" s="196">
        <f>+J16/3718</f>
        <v>0.3821947283485745</v>
      </c>
      <c r="K41" s="196">
        <f>+K16/1463</f>
        <v>0.31715652768284347</v>
      </c>
      <c r="L41" s="196">
        <f>+L16/1920</f>
        <v>0.2453125</v>
      </c>
      <c r="M41" s="196">
        <f>+M16/1032</f>
        <v>0.24806201550387597</v>
      </c>
    </row>
    <row r="42" spans="1:13" ht="15.75" customHeight="1">
      <c r="A42" s="187">
        <v>2007</v>
      </c>
      <c r="B42" s="302">
        <f>+B17/35356</f>
        <v>0.3355017535920353</v>
      </c>
      <c r="C42" s="196">
        <f>+C17/5104*1</f>
        <v>0.4202586206896552</v>
      </c>
      <c r="D42" s="196">
        <f>D17/4712*1</f>
        <v>0.3414685908319185</v>
      </c>
      <c r="E42" s="196">
        <f>+E17/4507*1</f>
        <v>0.27623696472154424</v>
      </c>
      <c r="F42" s="196">
        <f>+F17/2549*1</f>
        <v>0.2020400156924284</v>
      </c>
      <c r="G42" s="196">
        <f>+G17/5691*1</f>
        <v>0.37568089966613955</v>
      </c>
      <c r="H42" s="196">
        <f>+H17/407</f>
        <v>0.25061425061425063</v>
      </c>
      <c r="I42" s="196">
        <f>+I17/4136</f>
        <v>0.34695357833655704</v>
      </c>
      <c r="J42" s="196">
        <f>+J17/3798</f>
        <v>0.38204318062137965</v>
      </c>
      <c r="K42" s="196">
        <f>+K17/1492</f>
        <v>0.31233243967828417</v>
      </c>
      <c r="L42" s="196">
        <f>+L17/1931</f>
        <v>0.2527187985499741</v>
      </c>
      <c r="M42" s="196">
        <f>+M17/1029</f>
        <v>0.26044703595724006</v>
      </c>
    </row>
    <row r="43" spans="1:13" ht="15.75" customHeight="1">
      <c r="A43" s="187">
        <v>2008</v>
      </c>
      <c r="B43" s="302">
        <f>+B18/35589</f>
        <v>0.33072016634353313</v>
      </c>
      <c r="C43" s="196">
        <f>+C18/5111*1</f>
        <v>0.4134220309137155</v>
      </c>
      <c r="D43" s="196">
        <f>D18/4759*1</f>
        <v>0.3393570077747426</v>
      </c>
      <c r="E43" s="196">
        <f>+E18/4513*1</f>
        <v>0.2709949036117882</v>
      </c>
      <c r="F43" s="196">
        <f>+F18/2538*1</f>
        <v>0.19976359338061467</v>
      </c>
      <c r="G43" s="196">
        <f>+G18/5758*1</f>
        <v>0.3726988537686697</v>
      </c>
      <c r="H43" s="196">
        <f>+H18/421</f>
        <v>0.24703087885985747</v>
      </c>
      <c r="I43" s="196">
        <f>+I18/4150</f>
        <v>0.3402409638554217</v>
      </c>
      <c r="J43" s="196">
        <f>+J18/3836</f>
        <v>0.37122002085505734</v>
      </c>
      <c r="K43" s="196">
        <f>+K18/1524</f>
        <v>0.3110236220472441</v>
      </c>
      <c r="L43" s="196">
        <f>+L18/1937</f>
        <v>0.25296850800206505</v>
      </c>
      <c r="M43" s="196">
        <f>+M18/1042</f>
        <v>0.2514395393474088</v>
      </c>
    </row>
    <row r="44" spans="1:13" ht="15.75" customHeight="1">
      <c r="A44" s="187">
        <v>2009</v>
      </c>
      <c r="B44" s="302">
        <f>+B19/35894</f>
        <v>0.33114169499080626</v>
      </c>
      <c r="C44" s="196">
        <f>+C19/5204*1</f>
        <v>0.41218293620292085</v>
      </c>
      <c r="D44" s="196">
        <f>D19/4806*1</f>
        <v>0.338535164377861</v>
      </c>
      <c r="E44" s="196">
        <f>+E19/4511*1</f>
        <v>0.26845488805142986</v>
      </c>
      <c r="F44" s="196">
        <f>+F19/2511*1</f>
        <v>0.1971326164874552</v>
      </c>
      <c r="G44" s="196">
        <f>+G19/5788*1</f>
        <v>0.3743953006219765</v>
      </c>
      <c r="H44" s="196">
        <f>+H19/422</f>
        <v>0.24644549763033174</v>
      </c>
      <c r="I44" s="196">
        <f>+I19/4201</f>
        <v>0.34396572244703644</v>
      </c>
      <c r="J44" s="196">
        <f>+J19/3884</f>
        <v>0.3699794026776519</v>
      </c>
      <c r="K44" s="196">
        <f>+K19/1583</f>
        <v>0.31017056222362605</v>
      </c>
      <c r="L44" s="196">
        <f>+L19/1966</f>
        <v>0.26754832146490337</v>
      </c>
      <c r="M44" s="196">
        <f>+M19/1018</f>
        <v>0.2337917485265226</v>
      </c>
    </row>
    <row r="45" spans="1:13" ht="15.75" customHeight="1">
      <c r="A45" s="187">
        <v>2010</v>
      </c>
      <c r="B45" s="302">
        <f>+B20/36149</f>
        <v>0.33207004343135355</v>
      </c>
      <c r="C45" s="196">
        <f>+C20/5207*1</f>
        <v>0.41021701555598233</v>
      </c>
      <c r="D45" s="196">
        <f>D20/4826*1</f>
        <v>0.3396187318690427</v>
      </c>
      <c r="E45" s="196">
        <f>+E20/4528*1</f>
        <v>0.27186395759717313</v>
      </c>
      <c r="F45" s="196">
        <f>+F20/2562*1</f>
        <v>0.20023419203747073</v>
      </c>
      <c r="G45" s="196">
        <f>+G20/5767*1</f>
        <v>0.3757586266689787</v>
      </c>
      <c r="H45" s="196">
        <f>+H20/425</f>
        <v>0.24941176470588236</v>
      </c>
      <c r="I45" s="196">
        <f>+I20/4215</f>
        <v>0.3423487544483986</v>
      </c>
      <c r="J45" s="196">
        <f>+J20/3999</f>
        <v>0.37534383595898974</v>
      </c>
      <c r="K45" s="196">
        <f>+K20/1606</f>
        <v>0.3044831880448319</v>
      </c>
      <c r="L45" s="196">
        <f>+L20/2001</f>
        <v>0.2673663168415792</v>
      </c>
      <c r="M45" s="196">
        <f>+M20/1013</f>
        <v>0.24086870681145114</v>
      </c>
    </row>
    <row r="46" spans="1:13" ht="15.75" customHeight="1">
      <c r="A46" s="187">
        <v>2011</v>
      </c>
      <c r="B46" s="302">
        <f>+B21/36475</f>
        <v>0.33294037011651817</v>
      </c>
      <c r="C46" s="196">
        <f>+C21/5236*1</f>
        <v>0.40985485103132163</v>
      </c>
      <c r="D46" s="196">
        <f>D21/4834*1</f>
        <v>0.33947041787339677</v>
      </c>
      <c r="E46" s="196">
        <f>+E21/4526*1</f>
        <v>0.26800707026071585</v>
      </c>
      <c r="F46" s="196">
        <f>+F21/2611*1</f>
        <v>0.20988127154346994</v>
      </c>
      <c r="G46" s="196">
        <f>+G21/5853*1</f>
        <v>0.37707158722022893</v>
      </c>
      <c r="H46" s="196">
        <f>+H21/423</f>
        <v>0.2364066193853428</v>
      </c>
      <c r="I46" s="196">
        <f>+I21/4249</f>
        <v>0.34784655212991294</v>
      </c>
      <c r="J46" s="196">
        <f>+J21/4012</f>
        <v>0.3786141575274177</v>
      </c>
      <c r="K46" s="196">
        <f>+K21/1641</f>
        <v>0.30408287629494213</v>
      </c>
      <c r="L46" s="196">
        <f>+L21/2057</f>
        <v>0.26689353427321344</v>
      </c>
      <c r="M46" s="196">
        <f>+M21/1033</f>
        <v>0.2362052274927396</v>
      </c>
    </row>
    <row r="47" spans="1:13" ht="15.75" customHeight="1">
      <c r="A47" s="187">
        <v>2012</v>
      </c>
      <c r="B47" s="302">
        <f>+B22/36838</f>
        <v>0.334898745860253</v>
      </c>
      <c r="C47" s="196">
        <f>+C22/5229*1</f>
        <v>0.41556703002486134</v>
      </c>
      <c r="D47" s="196">
        <f>D22/4913*1</f>
        <v>0.3472420109912477</v>
      </c>
      <c r="E47" s="196">
        <f>+E22/4539*1</f>
        <v>0.26790041859440406</v>
      </c>
      <c r="F47" s="196">
        <f>+F22/2634*1</f>
        <v>0.20804859529233105</v>
      </c>
      <c r="G47" s="196">
        <f>+G22/5933*1</f>
        <v>0.3777178493173774</v>
      </c>
      <c r="H47" s="196">
        <f>+H22/430</f>
        <v>0.24186046511627907</v>
      </c>
      <c r="I47" s="196">
        <f>+I22/4284</f>
        <v>0.3443043884220355</v>
      </c>
      <c r="J47" s="196">
        <f>+J22/4138</f>
        <v>0.3808603189946834</v>
      </c>
      <c r="K47" s="196">
        <f>+K22/1636</f>
        <v>0.3105134474327628</v>
      </c>
      <c r="L47" s="196">
        <f>+L22/2065</f>
        <v>0.2648910411622276</v>
      </c>
      <c r="M47" s="196">
        <f>+M22/1037</f>
        <v>0.2343297974927676</v>
      </c>
    </row>
    <row r="48" spans="1:13" ht="15.75" customHeight="1">
      <c r="A48" s="187">
        <v>2013</v>
      </c>
      <c r="B48" s="302">
        <f>+B23/37129</f>
        <v>0.3371757925072046</v>
      </c>
      <c r="C48" s="196">
        <f>+C23/5372*1</f>
        <v>0.4184661206254654</v>
      </c>
      <c r="D48" s="196">
        <f>D23/4989*1</f>
        <v>0.35117257967528565</v>
      </c>
      <c r="E48" s="196">
        <f>+E23/4594*1</f>
        <v>0.2716586852416195</v>
      </c>
      <c r="F48" s="196">
        <f>+F23/2620*1</f>
        <v>0.2103053435114504</v>
      </c>
      <c r="G48" s="196">
        <f>+G23/5925*1</f>
        <v>0.3763713080168776</v>
      </c>
      <c r="H48" s="196">
        <f>+H23/420</f>
        <v>0.24285714285714285</v>
      </c>
      <c r="I48" s="196">
        <f>+I23/4295</f>
        <v>0.34761350407450525</v>
      </c>
      <c r="J48" s="196">
        <f>+J23/4141</f>
        <v>0.3786524993962811</v>
      </c>
      <c r="K48" s="196">
        <f>+K23/1649</f>
        <v>0.31109763493026077</v>
      </c>
      <c r="L48" s="196">
        <f>+L23/2092</f>
        <v>0.2681644359464627</v>
      </c>
      <c r="M48" s="196">
        <f>+M23/1032</f>
        <v>0.2451550387596899</v>
      </c>
    </row>
    <row r="49" spans="1:13" ht="15.75" customHeight="1">
      <c r="A49" s="187">
        <v>2014</v>
      </c>
      <c r="B49" s="302">
        <f>+B24/37366</f>
        <v>0.336642937429749</v>
      </c>
      <c r="C49" s="196">
        <f>+C24/5421*1</f>
        <v>0.42335362479247374</v>
      </c>
      <c r="D49" s="196">
        <f>D24/5010*1</f>
        <v>0.34910179640718564</v>
      </c>
      <c r="E49" s="196">
        <f>+E24/4589*1</f>
        <v>0.27042928742645456</v>
      </c>
      <c r="F49" s="196">
        <f>+F24/2602*1</f>
        <v>0.20253651037663337</v>
      </c>
      <c r="G49" s="196">
        <f>+G24/5963*1</f>
        <v>0.37564984068421936</v>
      </c>
      <c r="H49" s="196">
        <f>+H24/424</f>
        <v>0.23820754716981132</v>
      </c>
      <c r="I49" s="196">
        <f>+I24/4311</f>
        <v>0.34794711203897005</v>
      </c>
      <c r="J49" s="196">
        <f>+J24/4189</f>
        <v>0.3762234423490093</v>
      </c>
      <c r="K49" s="196">
        <f>+K24/1657</f>
        <v>0.31623415811707906</v>
      </c>
      <c r="L49" s="196">
        <f>+L24/2147</f>
        <v>0.26502095947834187</v>
      </c>
      <c r="M49" s="196">
        <f>+M24/1053</f>
        <v>0.24406457739791074</v>
      </c>
    </row>
    <row r="50" spans="1:13" ht="15.75" customHeight="1">
      <c r="A50" s="187">
        <v>2015</v>
      </c>
      <c r="B50" s="302">
        <f>+B25/37622</f>
        <v>0.339561958428579</v>
      </c>
      <c r="C50" s="196">
        <f>+C25/5435*1</f>
        <v>0.42539098436062556</v>
      </c>
      <c r="D50" s="196">
        <f>D25/5051*1</f>
        <v>0.3531973866561077</v>
      </c>
      <c r="E50" s="196">
        <f>+E25/4608*1</f>
        <v>0.2690972222222222</v>
      </c>
      <c r="F50" s="196">
        <f>+F25/2608*1</f>
        <v>0.20782208588957055</v>
      </c>
      <c r="G50" s="196">
        <f>+G25/5994*1</f>
        <v>0.37854521187854523</v>
      </c>
      <c r="H50" s="196">
        <f>+H25/446</f>
        <v>0.24663677130044842</v>
      </c>
      <c r="I50" s="196">
        <f>+I25/4411</f>
        <v>0.3557016549535253</v>
      </c>
      <c r="J50" s="196">
        <f>+J25/4190</f>
        <v>0.37971360381861574</v>
      </c>
      <c r="K50" s="196">
        <f>+K25/1659</f>
        <v>0.31464737793851716</v>
      </c>
      <c r="L50" s="196">
        <f>+L25/2156</f>
        <v>0.2680890538033395</v>
      </c>
      <c r="M50" s="196">
        <f>+M25/1064</f>
        <v>0.2424812030075188</v>
      </c>
    </row>
    <row r="51" spans="1:13" ht="15.75" customHeight="1">
      <c r="A51" s="187">
        <v>2016</v>
      </c>
      <c r="B51" s="302">
        <f>+B26/37810</f>
        <v>0.3384025390108437</v>
      </c>
      <c r="C51" s="196">
        <f>+C26/5407*1</f>
        <v>0.4207508784908452</v>
      </c>
      <c r="D51" s="196">
        <f>D26/5096*1</f>
        <v>0.3577315541601256</v>
      </c>
      <c r="E51" s="196">
        <f>+E26/4622*1</f>
        <v>0.2691475551709217</v>
      </c>
      <c r="F51" s="196">
        <f>+F26/2624*1</f>
        <v>0.20541158536585366</v>
      </c>
      <c r="G51" s="196">
        <f>+G26/5992*1</f>
        <v>0.3788384512683578</v>
      </c>
      <c r="H51" s="196">
        <f>+H26/450</f>
        <v>0.2577777777777778</v>
      </c>
      <c r="I51" s="196">
        <f>+I26/4390</f>
        <v>0.34555808656036446</v>
      </c>
      <c r="J51" s="196">
        <f>+J26/4268</f>
        <v>0.3849578256794752</v>
      </c>
      <c r="K51" s="196">
        <f>+K26/1657</f>
        <v>0.3083886541943271</v>
      </c>
      <c r="L51" s="196">
        <f>+L26/2224</f>
        <v>0.2675359712230216</v>
      </c>
      <c r="M51" s="196">
        <f>+M26/1080</f>
        <v>0.24259259259259258</v>
      </c>
    </row>
    <row r="52" spans="1:13" ht="15.75" customHeight="1">
      <c r="A52" s="187">
        <v>2017</v>
      </c>
      <c r="B52" s="302">
        <f>+B27/38114</f>
        <v>0.33953402949047595</v>
      </c>
      <c r="C52" s="196">
        <f>+C27/5526*1</f>
        <v>0.41838581252262036</v>
      </c>
      <c r="D52" s="196">
        <f>D27/5156*1</f>
        <v>0.3652055857253685</v>
      </c>
      <c r="E52" s="196">
        <f>+E27/4590*1</f>
        <v>0.26862745098039215</v>
      </c>
      <c r="F52" s="196">
        <f>+F27/2608*1</f>
        <v>0.20475460122699388</v>
      </c>
      <c r="G52" s="196">
        <f>+G27/6039*1</f>
        <v>0.3808577579069382</v>
      </c>
      <c r="H52" s="196">
        <f>+H27/456</f>
        <v>0.2565789473684211</v>
      </c>
      <c r="I52" s="196">
        <f>+I27/4385</f>
        <v>0.3468643101482326</v>
      </c>
      <c r="J52" s="196">
        <f>+J27/4344</f>
        <v>0.3860497237569061</v>
      </c>
      <c r="K52" s="196">
        <f>+K27/1658</f>
        <v>0.304583835946924</v>
      </c>
      <c r="L52" s="196">
        <f>+L27/2268</f>
        <v>0.263668430335097</v>
      </c>
      <c r="M52" s="196">
        <f>+M27/1084</f>
        <v>0.24077490774907748</v>
      </c>
    </row>
    <row r="53" spans="1:13" ht="15.75" customHeight="1">
      <c r="A53" s="187">
        <v>2018</v>
      </c>
      <c r="B53" s="302">
        <f>+B28/38378</f>
        <v>0.340220959924957</v>
      </c>
      <c r="C53" s="196">
        <f>+C28/5624*1</f>
        <v>0.42194167852062586</v>
      </c>
      <c r="D53" s="196">
        <f>D28/5202*1</f>
        <v>0.36658977316416763</v>
      </c>
      <c r="E53" s="196">
        <f>+E28/4594*1</f>
        <v>0.2670875054418807</v>
      </c>
      <c r="F53" s="196">
        <f>+F28/2636*1</f>
        <v>0.2109256449165402</v>
      </c>
      <c r="G53" s="196">
        <f>+G28/6014*1</f>
        <v>0.38011306950448953</v>
      </c>
      <c r="H53" s="196">
        <f>+H28/472</f>
        <v>0.2521186440677966</v>
      </c>
      <c r="I53" s="196">
        <f>+I28/4416</f>
        <v>0.3439764492753623</v>
      </c>
      <c r="J53" s="196">
        <f>+J28/4389</f>
        <v>0.38664843928001824</v>
      </c>
      <c r="K53" s="196">
        <f>+K28/1671</f>
        <v>0.3081986834230999</v>
      </c>
      <c r="L53" s="196">
        <f>+L28/2276</f>
        <v>0.2618629173989455</v>
      </c>
      <c r="M53" s="196">
        <f>+M28/1084</f>
        <v>0.24169741697416974</v>
      </c>
    </row>
    <row r="54" spans="1:13" ht="15.75" customHeight="1" thickBot="1">
      <c r="A54" s="174">
        <v>2019</v>
      </c>
      <c r="B54" s="303">
        <f>+B29/38747</f>
        <v>0.34227165974139934</v>
      </c>
      <c r="C54" s="303">
        <f>+C29/5696</f>
        <v>0.42696629213483145</v>
      </c>
      <c r="D54" s="303">
        <f>D29/5277</f>
        <v>0.3702861474322532</v>
      </c>
      <c r="E54" s="303">
        <f>+E29/4642</f>
        <v>0.2690650581645842</v>
      </c>
      <c r="F54" s="303">
        <f>+F29/2638</f>
        <v>0.21266110689916604</v>
      </c>
      <c r="G54" s="303">
        <f>+G29/6038</f>
        <v>0.37893342166280225</v>
      </c>
      <c r="H54" s="303">
        <f>+H29/473</f>
        <v>0.25792811839323465</v>
      </c>
      <c r="I54" s="303">
        <f>+I29/4465</f>
        <v>0.34423292273236283</v>
      </c>
      <c r="J54" s="303">
        <f>+J29/4399</f>
        <v>0.39145260286428735</v>
      </c>
      <c r="K54" s="303">
        <f>+K29/1690</f>
        <v>0.31242603550295855</v>
      </c>
      <c r="L54" s="303">
        <f>+L29/2322</f>
        <v>0.2588285960378984</v>
      </c>
      <c r="M54" s="303">
        <f>+M29/1107</f>
        <v>0.24209575429087624</v>
      </c>
    </row>
    <row r="55" spans="1:13" ht="15.75" customHeight="1">
      <c r="A55" s="391" t="s">
        <v>635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</row>
    <row r="56" spans="1:13" ht="15.75" customHeight="1">
      <c r="A56" s="439" t="s">
        <v>202</v>
      </c>
      <c r="B56" s="439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</row>
    <row r="57" spans="1:13" ht="15.75" customHeight="1">
      <c r="A57" s="440" t="s">
        <v>203</v>
      </c>
      <c r="B57" s="440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</row>
    <row r="58" ht="15.75" customHeight="1"/>
  </sheetData>
  <sheetProtection/>
  <mergeCells count="8">
    <mergeCell ref="A57:M57"/>
    <mergeCell ref="A5:M5"/>
    <mergeCell ref="A30:M30"/>
    <mergeCell ref="A1:M1"/>
    <mergeCell ref="A2:M2"/>
    <mergeCell ref="C3:M3"/>
    <mergeCell ref="A56:M56"/>
    <mergeCell ref="A55:M55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="85" zoomScaleNormal="85" zoomScalePageLayoutView="0" workbookViewId="0" topLeftCell="A1">
      <selection activeCell="H41" sqref="H41"/>
    </sheetView>
  </sheetViews>
  <sheetFormatPr defaultColWidth="11.421875" defaultRowHeight="12.75"/>
  <cols>
    <col min="1" max="1" width="11.7109375" style="4" customWidth="1"/>
    <col min="2" max="2" width="7.7109375" style="4" bestFit="1" customWidth="1"/>
    <col min="3" max="6" width="15.7109375" style="4" customWidth="1"/>
    <col min="7" max="16384" width="11.421875" style="4" customWidth="1"/>
  </cols>
  <sheetData>
    <row r="1" spans="1:6" ht="18">
      <c r="A1" s="437" t="s">
        <v>270</v>
      </c>
      <c r="B1" s="437"/>
      <c r="C1" s="437"/>
      <c r="D1" s="437"/>
      <c r="E1" s="437"/>
      <c r="F1" s="437"/>
    </row>
    <row r="2" spans="1:6" s="42" customFormat="1" ht="15.75" customHeight="1" thickBot="1">
      <c r="A2" s="390" t="s">
        <v>465</v>
      </c>
      <c r="B2" s="447"/>
      <c r="C2" s="447"/>
      <c r="D2" s="447"/>
      <c r="E2" s="447"/>
      <c r="F2" s="447"/>
    </row>
    <row r="3" spans="1:6" s="42" customFormat="1" ht="15.75" customHeight="1">
      <c r="A3" s="188" t="s">
        <v>4</v>
      </c>
      <c r="B3" s="199" t="s">
        <v>134</v>
      </c>
      <c r="C3" s="195" t="s">
        <v>135</v>
      </c>
      <c r="D3" s="195" t="s">
        <v>261</v>
      </c>
      <c r="E3" s="195" t="s">
        <v>136</v>
      </c>
      <c r="F3" s="195" t="s">
        <v>262</v>
      </c>
    </row>
    <row r="4" spans="1:6" s="42" customFormat="1" ht="15.75" customHeight="1">
      <c r="A4" s="187">
        <v>2000</v>
      </c>
      <c r="B4" s="304">
        <f aca="true" t="shared" si="0" ref="B4:B16">SUM(C4:F4)</f>
        <v>32863</v>
      </c>
      <c r="C4" s="42">
        <v>21543</v>
      </c>
      <c r="D4" s="42">
        <v>5300</v>
      </c>
      <c r="E4" s="42">
        <v>3805</v>
      </c>
      <c r="F4" s="42">
        <v>2215</v>
      </c>
    </row>
    <row r="5" spans="1:6" s="42" customFormat="1" ht="15.75" customHeight="1">
      <c r="A5" s="187">
        <v>2001</v>
      </c>
      <c r="B5" s="304">
        <f t="shared" si="0"/>
        <v>33525</v>
      </c>
      <c r="C5" s="42">
        <v>22030</v>
      </c>
      <c r="D5" s="42">
        <v>5465</v>
      </c>
      <c r="E5" s="42">
        <v>3750</v>
      </c>
      <c r="F5" s="42">
        <v>2280</v>
      </c>
    </row>
    <row r="6" spans="1:6" s="42" customFormat="1" ht="15.75" customHeight="1">
      <c r="A6" s="187">
        <v>2002</v>
      </c>
      <c r="B6" s="304">
        <f t="shared" si="0"/>
        <v>33863</v>
      </c>
      <c r="C6" s="42">
        <v>22297</v>
      </c>
      <c r="D6" s="42">
        <v>5500</v>
      </c>
      <c r="E6" s="42">
        <v>3693</v>
      </c>
      <c r="F6" s="42">
        <v>2373</v>
      </c>
    </row>
    <row r="7" spans="1:6" s="42" customFormat="1" ht="15.75" customHeight="1">
      <c r="A7" s="187">
        <v>2003</v>
      </c>
      <c r="B7" s="304">
        <f t="shared" si="0"/>
        <v>34294</v>
      </c>
      <c r="C7" s="42">
        <v>22508</v>
      </c>
      <c r="D7" s="42">
        <v>5703</v>
      </c>
      <c r="E7" s="42">
        <v>3653</v>
      </c>
      <c r="F7" s="42">
        <v>2430</v>
      </c>
    </row>
    <row r="8" spans="1:6" s="42" customFormat="1" ht="15.75" customHeight="1">
      <c r="A8" s="187">
        <v>2004</v>
      </c>
      <c r="B8" s="304">
        <f t="shared" si="0"/>
        <v>34600</v>
      </c>
      <c r="C8" s="42">
        <v>22748</v>
      </c>
      <c r="D8" s="42">
        <v>5897</v>
      </c>
      <c r="E8" s="42">
        <v>3614</v>
      </c>
      <c r="F8" s="42">
        <v>2341</v>
      </c>
    </row>
    <row r="9" spans="1:6" s="42" customFormat="1" ht="15.75" customHeight="1">
      <c r="A9" s="187">
        <v>2005</v>
      </c>
      <c r="B9" s="304">
        <f t="shared" si="0"/>
        <v>34905</v>
      </c>
      <c r="C9" s="42">
        <v>22988</v>
      </c>
      <c r="D9" s="42">
        <v>5888</v>
      </c>
      <c r="E9" s="42">
        <v>3617</v>
      </c>
      <c r="F9" s="42">
        <v>2412</v>
      </c>
    </row>
    <row r="10" spans="1:6" s="42" customFormat="1" ht="15.75" customHeight="1">
      <c r="A10" s="187">
        <v>2006</v>
      </c>
      <c r="B10" s="304">
        <f t="shared" si="0"/>
        <v>35168</v>
      </c>
      <c r="C10" s="42">
        <v>23261</v>
      </c>
      <c r="D10" s="42">
        <v>5846</v>
      </c>
      <c r="E10" s="42">
        <v>3610</v>
      </c>
      <c r="F10" s="42">
        <v>2451</v>
      </c>
    </row>
    <row r="11" spans="1:6" s="42" customFormat="1" ht="15.75" customHeight="1">
      <c r="A11" s="187">
        <v>2007</v>
      </c>
      <c r="B11" s="304">
        <f t="shared" si="0"/>
        <v>35356</v>
      </c>
      <c r="C11" s="42">
        <v>23494</v>
      </c>
      <c r="D11" s="42">
        <v>5827</v>
      </c>
      <c r="E11" s="42">
        <v>3606</v>
      </c>
      <c r="F11" s="42">
        <v>2429</v>
      </c>
    </row>
    <row r="12" spans="1:6" s="42" customFormat="1" ht="15.75" customHeight="1">
      <c r="A12" s="187">
        <v>2008</v>
      </c>
      <c r="B12" s="304">
        <f t="shared" si="0"/>
        <v>35589</v>
      </c>
      <c r="C12" s="42">
        <v>23819</v>
      </c>
      <c r="D12" s="42">
        <v>5813</v>
      </c>
      <c r="E12" s="42">
        <v>3564</v>
      </c>
      <c r="F12" s="42">
        <v>2393</v>
      </c>
    </row>
    <row r="13" spans="1:6" s="42" customFormat="1" ht="15.75" customHeight="1">
      <c r="A13" s="187">
        <v>2009</v>
      </c>
      <c r="B13" s="304">
        <f t="shared" si="0"/>
        <v>35894</v>
      </c>
      <c r="C13" s="42">
        <v>24008</v>
      </c>
      <c r="D13" s="42">
        <v>5859</v>
      </c>
      <c r="E13" s="42">
        <v>3595</v>
      </c>
      <c r="F13" s="42">
        <v>2432</v>
      </c>
    </row>
    <row r="14" spans="1:6" s="42" customFormat="1" ht="15.75" customHeight="1">
      <c r="A14" s="187">
        <v>2010</v>
      </c>
      <c r="B14" s="304">
        <f t="shared" si="0"/>
        <v>36149</v>
      </c>
      <c r="C14" s="42">
        <v>24145</v>
      </c>
      <c r="D14" s="42">
        <v>5928</v>
      </c>
      <c r="E14" s="42">
        <v>3586</v>
      </c>
      <c r="F14" s="42">
        <v>2490</v>
      </c>
    </row>
    <row r="15" spans="1:6" s="42" customFormat="1" ht="15.75" customHeight="1">
      <c r="A15" s="187">
        <v>2011</v>
      </c>
      <c r="B15" s="304">
        <f>SUM(C15:F15)</f>
        <v>36475</v>
      </c>
      <c r="C15" s="42">
        <v>24331</v>
      </c>
      <c r="D15" s="42">
        <v>6046</v>
      </c>
      <c r="E15" s="42">
        <v>3594</v>
      </c>
      <c r="F15" s="42">
        <v>2504</v>
      </c>
    </row>
    <row r="16" spans="1:6" s="42" customFormat="1" ht="15.75" customHeight="1">
      <c r="A16" s="187">
        <v>2012</v>
      </c>
      <c r="B16" s="304">
        <f t="shared" si="0"/>
        <v>36838</v>
      </c>
      <c r="C16" s="42">
        <v>24501</v>
      </c>
      <c r="D16" s="42">
        <v>6173</v>
      </c>
      <c r="E16" s="42">
        <v>3602</v>
      </c>
      <c r="F16" s="42">
        <v>2562</v>
      </c>
    </row>
    <row r="17" spans="1:6" s="42" customFormat="1" ht="15.75" customHeight="1">
      <c r="A17" s="187">
        <v>2013</v>
      </c>
      <c r="B17" s="304">
        <f aca="true" t="shared" si="1" ref="B17:B22">SUM(C17:F17)</f>
        <v>37129</v>
      </c>
      <c r="C17" s="42">
        <v>24610</v>
      </c>
      <c r="D17" s="42">
        <v>6451</v>
      </c>
      <c r="E17" s="42">
        <v>3598</v>
      </c>
      <c r="F17" s="42">
        <v>2470</v>
      </c>
    </row>
    <row r="18" spans="1:6" s="42" customFormat="1" ht="15.75" customHeight="1">
      <c r="A18" s="187">
        <v>2014</v>
      </c>
      <c r="B18" s="304">
        <f t="shared" si="1"/>
        <v>37366</v>
      </c>
      <c r="C18" s="42">
        <v>24787</v>
      </c>
      <c r="D18" s="42">
        <v>6555</v>
      </c>
      <c r="E18" s="42">
        <v>3592</v>
      </c>
      <c r="F18" s="42">
        <v>2432</v>
      </c>
    </row>
    <row r="19" spans="1:6" s="42" customFormat="1" ht="15.75" customHeight="1">
      <c r="A19" s="187">
        <v>2015</v>
      </c>
      <c r="B19" s="304">
        <f t="shared" si="1"/>
        <v>37622</v>
      </c>
      <c r="C19" s="42">
        <v>24847</v>
      </c>
      <c r="D19" s="42">
        <v>6696</v>
      </c>
      <c r="E19" s="42">
        <v>3599</v>
      </c>
      <c r="F19" s="42">
        <v>2480</v>
      </c>
    </row>
    <row r="20" spans="1:6" s="42" customFormat="1" ht="15.75" customHeight="1">
      <c r="A20" s="187">
        <v>2016</v>
      </c>
      <c r="B20" s="304">
        <f t="shared" si="1"/>
        <v>37810</v>
      </c>
      <c r="C20" s="42">
        <v>25015</v>
      </c>
      <c r="D20" s="42">
        <v>6748</v>
      </c>
      <c r="E20" s="42">
        <v>3612</v>
      </c>
      <c r="F20" s="42">
        <v>2435</v>
      </c>
    </row>
    <row r="21" spans="1:6" s="42" customFormat="1" ht="15.75" customHeight="1">
      <c r="A21" s="187">
        <v>2017</v>
      </c>
      <c r="B21" s="304">
        <f t="shared" si="1"/>
        <v>38114</v>
      </c>
      <c r="C21" s="42">
        <v>25173</v>
      </c>
      <c r="D21" s="42">
        <v>6855</v>
      </c>
      <c r="E21" s="42">
        <v>3645</v>
      </c>
      <c r="F21" s="42">
        <v>2441</v>
      </c>
    </row>
    <row r="22" spans="1:6" s="42" customFormat="1" ht="15.75" customHeight="1">
      <c r="A22" s="187">
        <v>2018</v>
      </c>
      <c r="B22" s="304">
        <f t="shared" si="1"/>
        <v>38378</v>
      </c>
      <c r="C22" s="42">
        <v>25321</v>
      </c>
      <c r="D22" s="42">
        <v>6929</v>
      </c>
      <c r="E22" s="42">
        <v>3669</v>
      </c>
      <c r="F22" s="42">
        <v>2459</v>
      </c>
    </row>
    <row r="23" spans="1:6" s="42" customFormat="1" ht="15.75" customHeight="1" thickBot="1">
      <c r="A23" s="174">
        <v>2019</v>
      </c>
      <c r="B23" s="305">
        <f>SUM(C23:F23)</f>
        <v>38747</v>
      </c>
      <c r="C23" s="159">
        <v>25485</v>
      </c>
      <c r="D23" s="159">
        <v>7014</v>
      </c>
      <c r="E23" s="159">
        <v>3732</v>
      </c>
      <c r="F23" s="159">
        <v>2516</v>
      </c>
    </row>
    <row r="24" spans="1:13" s="42" customFormat="1" ht="15.75" customHeight="1">
      <c r="A24" s="391" t="s">
        <v>635</v>
      </c>
      <c r="B24" s="391"/>
      <c r="C24" s="391"/>
      <c r="D24" s="391"/>
      <c r="E24" s="391"/>
      <c r="F24" s="391"/>
      <c r="G24" s="181"/>
      <c r="H24" s="181"/>
      <c r="I24" s="181"/>
      <c r="J24" s="181"/>
      <c r="K24" s="181"/>
      <c r="L24" s="181"/>
      <c r="M24" s="181"/>
    </row>
    <row r="25" spans="1:6" s="42" customFormat="1" ht="15.75" customHeight="1">
      <c r="A25" s="439" t="s">
        <v>202</v>
      </c>
      <c r="B25" s="439"/>
      <c r="C25" s="439"/>
      <c r="D25" s="439"/>
      <c r="E25" s="439"/>
      <c r="F25" s="439"/>
    </row>
    <row r="26" spans="1:6" s="42" customFormat="1" ht="15.75" customHeight="1">
      <c r="A26" s="440" t="s">
        <v>290</v>
      </c>
      <c r="B26" s="440"/>
      <c r="C26" s="440"/>
      <c r="D26" s="440"/>
      <c r="E26" s="440"/>
      <c r="F26" s="440"/>
    </row>
    <row r="27" spans="1:6" s="42" customFormat="1" ht="15.75" customHeight="1">
      <c r="A27" s="440" t="s">
        <v>291</v>
      </c>
      <c r="B27" s="440"/>
      <c r="C27" s="440"/>
      <c r="D27" s="440"/>
      <c r="E27" s="440"/>
      <c r="F27" s="440"/>
    </row>
    <row r="28" spans="1:6" s="42" customFormat="1" ht="15.75" customHeight="1">
      <c r="A28" s="440" t="s">
        <v>292</v>
      </c>
      <c r="B28" s="440"/>
      <c r="C28" s="440"/>
      <c r="D28" s="440"/>
      <c r="E28" s="440"/>
      <c r="F28" s="440"/>
    </row>
    <row r="29" spans="1:6" s="42" customFormat="1" ht="15.75" customHeight="1">
      <c r="A29" s="440" t="s">
        <v>310</v>
      </c>
      <c r="B29" s="440"/>
      <c r="C29" s="440"/>
      <c r="D29" s="440"/>
      <c r="E29" s="440"/>
      <c r="F29" s="440"/>
    </row>
  </sheetData>
  <sheetProtection/>
  <mergeCells count="8">
    <mergeCell ref="A27:F27"/>
    <mergeCell ref="A1:F1"/>
    <mergeCell ref="A25:F25"/>
    <mergeCell ref="A26:F26"/>
    <mergeCell ref="A28:F28"/>
    <mergeCell ref="A29:F29"/>
    <mergeCell ref="A2:F2"/>
    <mergeCell ref="A24:F2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5"/>
  <sheetViews>
    <sheetView zoomScale="85" zoomScaleNormal="85" zoomScalePageLayoutView="0" workbookViewId="0" topLeftCell="A1">
      <selection activeCell="U31" sqref="U31"/>
    </sheetView>
  </sheetViews>
  <sheetFormatPr defaultColWidth="11.421875" defaultRowHeight="12.75"/>
  <cols>
    <col min="1" max="1" width="9.7109375" style="25" customWidth="1"/>
    <col min="2" max="2" width="10.00390625" style="25" bestFit="1" customWidth="1"/>
    <col min="3" max="3" width="6.57421875" style="25" bestFit="1" customWidth="1"/>
    <col min="4" max="4" width="7.421875" style="25" bestFit="1" customWidth="1"/>
    <col min="5" max="6" width="8.7109375" style="25" bestFit="1" customWidth="1"/>
    <col min="7" max="7" width="6.57421875" style="25" bestFit="1" customWidth="1"/>
    <col min="8" max="8" width="6.57421875" style="25" customWidth="1"/>
    <col min="9" max="9" width="9.7109375" style="25" customWidth="1"/>
    <col min="10" max="10" width="10.00390625" style="25" bestFit="1" customWidth="1"/>
    <col min="11" max="11" width="6.57421875" style="25" bestFit="1" customWidth="1"/>
    <col min="12" max="12" width="7.421875" style="25" bestFit="1" customWidth="1"/>
    <col min="13" max="14" width="8.7109375" style="25" bestFit="1" customWidth="1"/>
    <col min="15" max="15" width="6.57421875" style="25" bestFit="1" customWidth="1"/>
    <col min="16" max="16384" width="11.421875" style="25" customWidth="1"/>
  </cols>
  <sheetData>
    <row r="1" spans="1:15" ht="18">
      <c r="A1" s="445" t="s">
        <v>266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75" customHeight="1" thickBot="1">
      <c r="A2" s="390" t="s">
        <v>466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s="182" customFormat="1" ht="15.75" customHeight="1">
      <c r="A3" s="366"/>
      <c r="B3" s="367" t="s">
        <v>121</v>
      </c>
      <c r="C3" s="449" t="s">
        <v>3</v>
      </c>
      <c r="D3" s="449"/>
      <c r="E3" s="449"/>
      <c r="F3" s="449"/>
      <c r="G3" s="449"/>
      <c r="H3" s="376"/>
      <c r="I3" s="366"/>
      <c r="J3" s="367" t="s">
        <v>121</v>
      </c>
      <c r="K3" s="449" t="s">
        <v>3</v>
      </c>
      <c r="L3" s="449"/>
      <c r="M3" s="449"/>
      <c r="N3" s="449"/>
      <c r="O3" s="449"/>
    </row>
    <row r="4" spans="1:15" ht="15.75" customHeight="1">
      <c r="A4" s="374" t="s">
        <v>4</v>
      </c>
      <c r="B4" s="65"/>
      <c r="C4" s="375" t="s">
        <v>5</v>
      </c>
      <c r="D4" s="375" t="s">
        <v>6</v>
      </c>
      <c r="E4" s="375" t="s">
        <v>7</v>
      </c>
      <c r="F4" s="375" t="s">
        <v>8</v>
      </c>
      <c r="G4" s="375" t="s">
        <v>9</v>
      </c>
      <c r="H4" s="65"/>
      <c r="I4" s="374" t="s">
        <v>4</v>
      </c>
      <c r="J4" s="65"/>
      <c r="K4" s="375" t="s">
        <v>5</v>
      </c>
      <c r="L4" s="375" t="s">
        <v>6</v>
      </c>
      <c r="M4" s="375" t="s">
        <v>7</v>
      </c>
      <c r="N4" s="375" t="s">
        <v>8</v>
      </c>
      <c r="O4" s="375" t="s">
        <v>9</v>
      </c>
    </row>
    <row r="5" spans="1:15" ht="15.75" customHeight="1">
      <c r="A5" s="450" t="s">
        <v>120</v>
      </c>
      <c r="B5" s="450"/>
      <c r="C5" s="450"/>
      <c r="D5" s="450"/>
      <c r="E5" s="450"/>
      <c r="F5" s="450"/>
      <c r="G5" s="450"/>
      <c r="H5" s="201"/>
      <c r="I5" s="448" t="s">
        <v>74</v>
      </c>
      <c r="J5" s="448"/>
      <c r="K5" s="448"/>
      <c r="L5" s="448"/>
      <c r="M5" s="448"/>
      <c r="N5" s="448"/>
      <c r="O5" s="448"/>
    </row>
    <row r="6" spans="1:15" ht="15.75" customHeight="1">
      <c r="A6" s="203" t="s">
        <v>57</v>
      </c>
      <c r="B6" s="306">
        <v>16628</v>
      </c>
      <c r="C6" s="204">
        <v>2353</v>
      </c>
      <c r="D6" s="204">
        <v>2439</v>
      </c>
      <c r="E6" s="204">
        <v>1506</v>
      </c>
      <c r="F6" s="204">
        <v>9008</v>
      </c>
      <c r="G6" s="204">
        <v>1322</v>
      </c>
      <c r="H6" s="204"/>
      <c r="I6" s="203" t="s">
        <v>57</v>
      </c>
      <c r="J6" s="306">
        <v>12485</v>
      </c>
      <c r="K6" s="204">
        <v>1873</v>
      </c>
      <c r="L6" s="204">
        <v>2047</v>
      </c>
      <c r="M6" s="204">
        <v>1067</v>
      </c>
      <c r="N6" s="204">
        <v>6455</v>
      </c>
      <c r="O6" s="204">
        <v>1043</v>
      </c>
    </row>
    <row r="7" spans="1:15" ht="15.75" customHeight="1">
      <c r="A7" s="203" t="s">
        <v>58</v>
      </c>
      <c r="B7" s="306">
        <v>21350</v>
      </c>
      <c r="C7" s="204">
        <v>2936</v>
      </c>
      <c r="D7" s="204">
        <v>3025</v>
      </c>
      <c r="E7" s="204">
        <v>1803</v>
      </c>
      <c r="F7" s="204">
        <v>11905</v>
      </c>
      <c r="G7" s="204">
        <v>1681</v>
      </c>
      <c r="H7" s="204"/>
      <c r="I7" s="203" t="s">
        <v>58</v>
      </c>
      <c r="J7" s="306">
        <v>14304</v>
      </c>
      <c r="K7" s="204">
        <v>1993</v>
      </c>
      <c r="L7" s="204">
        <v>2310</v>
      </c>
      <c r="M7" s="204">
        <v>1164</v>
      </c>
      <c r="N7" s="204">
        <v>7571</v>
      </c>
      <c r="O7" s="204">
        <v>1266</v>
      </c>
    </row>
    <row r="8" spans="1:15" ht="15.75" customHeight="1">
      <c r="A8" s="203" t="s">
        <v>59</v>
      </c>
      <c r="B8" s="306">
        <v>25215</v>
      </c>
      <c r="C8" s="204">
        <v>2465</v>
      </c>
      <c r="D8" s="204">
        <v>3323</v>
      </c>
      <c r="E8" s="204">
        <v>2049</v>
      </c>
      <c r="F8" s="204">
        <v>15111</v>
      </c>
      <c r="G8" s="204">
        <v>2267</v>
      </c>
      <c r="H8" s="204"/>
      <c r="I8" s="203" t="s">
        <v>59</v>
      </c>
      <c r="J8" s="306">
        <v>15913</v>
      </c>
      <c r="K8" s="204">
        <v>1455</v>
      </c>
      <c r="L8" s="204">
        <v>2153</v>
      </c>
      <c r="M8" s="204">
        <v>1352</v>
      </c>
      <c r="N8" s="204">
        <v>9205</v>
      </c>
      <c r="O8" s="204">
        <v>1748</v>
      </c>
    </row>
    <row r="9" spans="1:15" ht="15.75" customHeight="1">
      <c r="A9" s="205">
        <v>1990</v>
      </c>
      <c r="B9" s="306">
        <v>29032</v>
      </c>
      <c r="C9" s="204">
        <v>2591</v>
      </c>
      <c r="D9" s="204">
        <v>2931</v>
      </c>
      <c r="E9" s="204">
        <v>2063</v>
      </c>
      <c r="F9" s="204">
        <v>18556</v>
      </c>
      <c r="G9" s="204">
        <v>2891</v>
      </c>
      <c r="H9" s="204"/>
      <c r="I9" s="203" t="s">
        <v>60</v>
      </c>
      <c r="J9" s="306">
        <v>18123</v>
      </c>
      <c r="K9" s="204">
        <v>1498</v>
      </c>
      <c r="L9" s="204">
        <v>1741</v>
      </c>
      <c r="M9" s="204">
        <v>1265</v>
      </c>
      <c r="N9" s="204">
        <v>11375</v>
      </c>
      <c r="O9" s="204">
        <v>2244</v>
      </c>
    </row>
    <row r="10" spans="1:15" ht="15.75" customHeight="1">
      <c r="A10" s="203" t="s">
        <v>10</v>
      </c>
      <c r="B10" s="306">
        <v>32863</v>
      </c>
      <c r="C10" s="204">
        <v>2817</v>
      </c>
      <c r="D10" s="204">
        <v>3271</v>
      </c>
      <c r="E10" s="204">
        <v>2040</v>
      </c>
      <c r="F10" s="204">
        <v>21295</v>
      </c>
      <c r="G10" s="204">
        <v>3440</v>
      </c>
      <c r="H10" s="204"/>
      <c r="I10" s="203" t="s">
        <v>10</v>
      </c>
      <c r="J10" s="306">
        <v>21543</v>
      </c>
      <c r="K10" s="204">
        <v>1993</v>
      </c>
      <c r="L10" s="204">
        <v>2341</v>
      </c>
      <c r="M10" s="204">
        <v>1444</v>
      </c>
      <c r="N10" s="204">
        <v>13149</v>
      </c>
      <c r="O10" s="204">
        <v>2616</v>
      </c>
    </row>
    <row r="11" spans="1:15" ht="15.75" customHeight="1">
      <c r="A11" s="203" t="s">
        <v>27</v>
      </c>
      <c r="B11" s="306">
        <v>33525</v>
      </c>
      <c r="C11" s="204">
        <v>2885</v>
      </c>
      <c r="D11" s="204">
        <v>3304</v>
      </c>
      <c r="E11" s="204">
        <v>2040</v>
      </c>
      <c r="F11" s="204">
        <v>21786</v>
      </c>
      <c r="G11" s="204">
        <v>3510</v>
      </c>
      <c r="H11" s="204"/>
      <c r="I11" s="203" t="s">
        <v>27</v>
      </c>
      <c r="J11" s="306">
        <v>22030</v>
      </c>
      <c r="K11" s="204">
        <v>2021</v>
      </c>
      <c r="L11" s="204">
        <v>2396</v>
      </c>
      <c r="M11" s="204">
        <v>1452</v>
      </c>
      <c r="N11" s="204">
        <v>13480</v>
      </c>
      <c r="O11" s="204">
        <v>2681</v>
      </c>
    </row>
    <row r="12" spans="1:15" ht="15.75" customHeight="1">
      <c r="A12" s="203" t="s">
        <v>29</v>
      </c>
      <c r="B12" s="306">
        <v>33863</v>
      </c>
      <c r="C12" s="204">
        <v>2816</v>
      </c>
      <c r="D12" s="204">
        <v>3362</v>
      </c>
      <c r="E12" s="204">
        <v>2039</v>
      </c>
      <c r="F12" s="204">
        <v>21999</v>
      </c>
      <c r="G12" s="204">
        <v>3647</v>
      </c>
      <c r="H12" s="204"/>
      <c r="I12" s="203" t="s">
        <v>29</v>
      </c>
      <c r="J12" s="306">
        <v>22297</v>
      </c>
      <c r="K12" s="204">
        <v>2009</v>
      </c>
      <c r="L12" s="204">
        <v>2411</v>
      </c>
      <c r="M12" s="204">
        <v>1452</v>
      </c>
      <c r="N12" s="204">
        <v>13653</v>
      </c>
      <c r="O12" s="204">
        <v>2772</v>
      </c>
    </row>
    <row r="13" spans="1:15" ht="15.75" customHeight="1">
      <c r="A13" s="203" t="s">
        <v>63</v>
      </c>
      <c r="B13" s="306">
        <v>34294</v>
      </c>
      <c r="C13" s="204">
        <v>2797</v>
      </c>
      <c r="D13" s="204">
        <v>3359</v>
      </c>
      <c r="E13" s="204">
        <v>2096</v>
      </c>
      <c r="F13" s="204">
        <v>22330</v>
      </c>
      <c r="G13" s="204">
        <v>3712</v>
      </c>
      <c r="H13" s="204"/>
      <c r="I13" s="203" t="s">
        <v>63</v>
      </c>
      <c r="J13" s="306">
        <v>22508</v>
      </c>
      <c r="K13" s="204">
        <v>1958</v>
      </c>
      <c r="L13" s="204">
        <v>2402</v>
      </c>
      <c r="M13" s="204">
        <v>1507</v>
      </c>
      <c r="N13" s="204">
        <v>13823</v>
      </c>
      <c r="O13" s="204">
        <v>2818</v>
      </c>
    </row>
    <row r="14" spans="1:15" ht="15.75" customHeight="1">
      <c r="A14" s="203" t="s">
        <v>32</v>
      </c>
      <c r="B14" s="306">
        <v>34600</v>
      </c>
      <c r="C14" s="204">
        <v>2713</v>
      </c>
      <c r="D14" s="204">
        <v>3376</v>
      </c>
      <c r="E14" s="204">
        <v>2107</v>
      </c>
      <c r="F14" s="204">
        <v>22553</v>
      </c>
      <c r="G14" s="204">
        <v>3851</v>
      </c>
      <c r="H14" s="204"/>
      <c r="I14" s="203" t="s">
        <v>32</v>
      </c>
      <c r="J14" s="306">
        <v>22748</v>
      </c>
      <c r="K14" s="204">
        <v>1931</v>
      </c>
      <c r="L14" s="204">
        <v>2428</v>
      </c>
      <c r="M14" s="204">
        <v>1511</v>
      </c>
      <c r="N14" s="204">
        <v>13967</v>
      </c>
      <c r="O14" s="204">
        <v>2911</v>
      </c>
    </row>
    <row r="15" spans="1:15" ht="15.75" customHeight="1">
      <c r="A15" s="203" t="s">
        <v>2</v>
      </c>
      <c r="B15" s="306">
        <v>34905</v>
      </c>
      <c r="C15" s="204">
        <v>2697</v>
      </c>
      <c r="D15" s="204">
        <v>3362</v>
      </c>
      <c r="E15" s="204">
        <v>2112</v>
      </c>
      <c r="F15" s="204">
        <v>22699</v>
      </c>
      <c r="G15" s="204">
        <v>4035</v>
      </c>
      <c r="H15" s="204"/>
      <c r="I15" s="203" t="s">
        <v>2</v>
      </c>
      <c r="J15" s="306">
        <v>22988</v>
      </c>
      <c r="K15" s="204">
        <v>1942</v>
      </c>
      <c r="L15" s="204">
        <v>2429</v>
      </c>
      <c r="M15" s="204">
        <v>1508</v>
      </c>
      <c r="N15" s="204">
        <v>14069</v>
      </c>
      <c r="O15" s="204">
        <v>3040</v>
      </c>
    </row>
    <row r="16" spans="1:15" ht="15.75" customHeight="1">
      <c r="A16" s="203" t="s">
        <v>0</v>
      </c>
      <c r="B16" s="306">
        <v>35168</v>
      </c>
      <c r="C16" s="204">
        <v>2664</v>
      </c>
      <c r="D16" s="204">
        <v>3328</v>
      </c>
      <c r="E16" s="204">
        <v>2177</v>
      </c>
      <c r="F16" s="204">
        <v>22798</v>
      </c>
      <c r="G16" s="204">
        <v>4201</v>
      </c>
      <c r="H16" s="204"/>
      <c r="I16" s="203" t="s">
        <v>0</v>
      </c>
      <c r="J16" s="306">
        <v>23261</v>
      </c>
      <c r="K16" s="204">
        <v>1970</v>
      </c>
      <c r="L16" s="204">
        <v>2385</v>
      </c>
      <c r="M16" s="204">
        <v>1575</v>
      </c>
      <c r="N16" s="204">
        <v>14173</v>
      </c>
      <c r="O16" s="204">
        <v>3158</v>
      </c>
    </row>
    <row r="17" spans="1:15" ht="15.75" customHeight="1">
      <c r="A17" s="203" t="s">
        <v>30</v>
      </c>
      <c r="B17" s="306">
        <v>35356</v>
      </c>
      <c r="C17" s="204">
        <v>2600</v>
      </c>
      <c r="D17" s="204">
        <v>3325</v>
      </c>
      <c r="E17" s="204">
        <v>2161</v>
      </c>
      <c r="F17" s="204">
        <v>22882</v>
      </c>
      <c r="G17" s="204">
        <v>4388</v>
      </c>
      <c r="H17" s="204"/>
      <c r="I17" s="203" t="s">
        <v>30</v>
      </c>
      <c r="J17" s="306">
        <v>23494</v>
      </c>
      <c r="K17" s="204">
        <v>1935</v>
      </c>
      <c r="L17" s="204">
        <v>2417</v>
      </c>
      <c r="M17" s="204">
        <v>1564</v>
      </c>
      <c r="N17" s="204">
        <v>14292</v>
      </c>
      <c r="O17" s="204">
        <v>3286</v>
      </c>
    </row>
    <row r="18" spans="1:15" ht="15.75" customHeight="1">
      <c r="A18" s="203" t="s">
        <v>204</v>
      </c>
      <c r="B18" s="306">
        <v>35589</v>
      </c>
      <c r="C18" s="204">
        <v>2567</v>
      </c>
      <c r="D18" s="204">
        <v>3279</v>
      </c>
      <c r="E18" s="204">
        <v>2148</v>
      </c>
      <c r="F18" s="204">
        <v>22993</v>
      </c>
      <c r="G18" s="204">
        <v>4602</v>
      </c>
      <c r="H18" s="204"/>
      <c r="I18" s="203" t="s">
        <v>204</v>
      </c>
      <c r="J18" s="306">
        <v>23819</v>
      </c>
      <c r="K18" s="204">
        <v>1935</v>
      </c>
      <c r="L18" s="204">
        <v>2380</v>
      </c>
      <c r="M18" s="204">
        <v>1588</v>
      </c>
      <c r="N18" s="204">
        <v>14469</v>
      </c>
      <c r="O18" s="204">
        <v>3447</v>
      </c>
    </row>
    <row r="19" spans="1:15" ht="15.75" customHeight="1">
      <c r="A19" s="203" t="s">
        <v>252</v>
      </c>
      <c r="B19" s="306">
        <v>35894</v>
      </c>
      <c r="C19" s="204">
        <v>2605</v>
      </c>
      <c r="D19" s="204">
        <v>3276</v>
      </c>
      <c r="E19" s="204">
        <v>2123</v>
      </c>
      <c r="F19" s="204">
        <v>23037</v>
      </c>
      <c r="G19" s="204">
        <v>4853</v>
      </c>
      <c r="H19" s="204"/>
      <c r="I19" s="203" t="s">
        <v>252</v>
      </c>
      <c r="J19" s="306">
        <v>24008</v>
      </c>
      <c r="K19" s="204">
        <v>1944</v>
      </c>
      <c r="L19" s="204">
        <v>2419</v>
      </c>
      <c r="M19" s="204">
        <v>1572</v>
      </c>
      <c r="N19" s="204">
        <v>14451</v>
      </c>
      <c r="O19" s="204">
        <v>3622</v>
      </c>
    </row>
    <row r="20" spans="1:15" ht="15.75" customHeight="1">
      <c r="A20" s="203" t="s">
        <v>258</v>
      </c>
      <c r="B20" s="306">
        <v>36149</v>
      </c>
      <c r="C20" s="204">
        <v>2600</v>
      </c>
      <c r="D20" s="204">
        <v>3175</v>
      </c>
      <c r="E20" s="204">
        <v>2155</v>
      </c>
      <c r="F20" s="204">
        <v>23197</v>
      </c>
      <c r="G20" s="204">
        <v>5022</v>
      </c>
      <c r="H20" s="204"/>
      <c r="I20" s="203" t="s">
        <v>258</v>
      </c>
      <c r="J20" s="306">
        <v>24145</v>
      </c>
      <c r="K20" s="204">
        <v>1962</v>
      </c>
      <c r="L20" s="204">
        <v>2334</v>
      </c>
      <c r="M20" s="204">
        <v>1597</v>
      </c>
      <c r="N20" s="204">
        <v>14499</v>
      </c>
      <c r="O20" s="204">
        <v>3753</v>
      </c>
    </row>
    <row r="21" spans="1:15" ht="15.75" customHeight="1">
      <c r="A21" s="203" t="s">
        <v>263</v>
      </c>
      <c r="B21" s="307">
        <v>36475</v>
      </c>
      <c r="C21" s="206">
        <v>2608</v>
      </c>
      <c r="D21" s="206">
        <v>3157</v>
      </c>
      <c r="E21" s="206">
        <v>2135</v>
      </c>
      <c r="F21" s="206">
        <v>23339</v>
      </c>
      <c r="G21" s="206">
        <v>5236</v>
      </c>
      <c r="H21" s="206"/>
      <c r="I21" s="203" t="s">
        <v>263</v>
      </c>
      <c r="J21" s="307">
        <v>24331</v>
      </c>
      <c r="K21" s="206">
        <v>1971</v>
      </c>
      <c r="L21" s="206">
        <v>2314</v>
      </c>
      <c r="M21" s="206">
        <v>1581</v>
      </c>
      <c r="N21" s="206">
        <v>14556</v>
      </c>
      <c r="O21" s="206">
        <v>3909</v>
      </c>
    </row>
    <row r="22" spans="1:15" ht="15.75" customHeight="1">
      <c r="A22" s="203" t="s">
        <v>275</v>
      </c>
      <c r="B22" s="307">
        <f aca="true" t="shared" si="0" ref="B22:B28">SUM(C22:G22)</f>
        <v>36838</v>
      </c>
      <c r="C22" s="206">
        <v>2582</v>
      </c>
      <c r="D22" s="206">
        <v>3114</v>
      </c>
      <c r="E22" s="206">
        <v>2188</v>
      </c>
      <c r="F22" s="206">
        <v>23463</v>
      </c>
      <c r="G22" s="206">
        <v>5491</v>
      </c>
      <c r="H22" s="206"/>
      <c r="I22" s="203" t="s">
        <v>275</v>
      </c>
      <c r="J22" s="307">
        <f aca="true" t="shared" si="1" ref="J22:J28">SUM(K22:O22)</f>
        <v>24501</v>
      </c>
      <c r="K22" s="206">
        <v>1951</v>
      </c>
      <c r="L22" s="206">
        <v>2287</v>
      </c>
      <c r="M22" s="206">
        <v>1618</v>
      </c>
      <c r="N22" s="206">
        <v>14567</v>
      </c>
      <c r="O22" s="206">
        <v>4078</v>
      </c>
    </row>
    <row r="23" spans="1:15" ht="15.75" customHeight="1">
      <c r="A23" s="203" t="s">
        <v>299</v>
      </c>
      <c r="B23" s="307">
        <f t="shared" si="0"/>
        <v>37129</v>
      </c>
      <c r="C23" s="206">
        <v>2572</v>
      </c>
      <c r="D23" s="206">
        <v>3076</v>
      </c>
      <c r="E23" s="206">
        <v>2155</v>
      </c>
      <c r="F23" s="206">
        <v>23555</v>
      </c>
      <c r="G23" s="206">
        <v>5771</v>
      </c>
      <c r="H23" s="206"/>
      <c r="I23" s="203" t="s">
        <v>299</v>
      </c>
      <c r="J23" s="307">
        <f t="shared" si="1"/>
        <v>24610</v>
      </c>
      <c r="K23" s="206">
        <v>1929</v>
      </c>
      <c r="L23" s="206">
        <v>2296</v>
      </c>
      <c r="M23" s="206">
        <v>1579</v>
      </c>
      <c r="N23" s="206">
        <v>14576</v>
      </c>
      <c r="O23" s="206">
        <v>4230</v>
      </c>
    </row>
    <row r="24" spans="1:15" ht="15.75" customHeight="1">
      <c r="A24" s="203" t="s">
        <v>306</v>
      </c>
      <c r="B24" s="307">
        <f t="shared" si="0"/>
        <v>37366</v>
      </c>
      <c r="C24" s="206">
        <v>2591</v>
      </c>
      <c r="D24" s="206">
        <v>3058</v>
      </c>
      <c r="E24" s="206">
        <v>2158</v>
      </c>
      <c r="F24" s="206">
        <v>23585</v>
      </c>
      <c r="G24" s="206">
        <v>5974</v>
      </c>
      <c r="H24" s="206"/>
      <c r="I24" s="203" t="s">
        <v>306</v>
      </c>
      <c r="J24" s="307">
        <f t="shared" si="1"/>
        <v>24787</v>
      </c>
      <c r="K24" s="206">
        <v>1949</v>
      </c>
      <c r="L24" s="207">
        <v>2296</v>
      </c>
      <c r="M24" s="206">
        <v>1594</v>
      </c>
      <c r="N24" s="206">
        <v>14578</v>
      </c>
      <c r="O24" s="206">
        <v>4370</v>
      </c>
    </row>
    <row r="25" spans="1:15" ht="15.75" customHeight="1">
      <c r="A25" s="203" t="s">
        <v>314</v>
      </c>
      <c r="B25" s="307">
        <f t="shared" si="0"/>
        <v>37622</v>
      </c>
      <c r="C25" s="206">
        <v>2589</v>
      </c>
      <c r="D25" s="206">
        <v>3021</v>
      </c>
      <c r="E25" s="206">
        <v>2122</v>
      </c>
      <c r="F25" s="206">
        <v>23691</v>
      </c>
      <c r="G25" s="206">
        <v>6199</v>
      </c>
      <c r="H25" s="206"/>
      <c r="I25" s="203" t="s">
        <v>314</v>
      </c>
      <c r="J25" s="307">
        <f t="shared" si="1"/>
        <v>24847</v>
      </c>
      <c r="K25" s="206">
        <v>1927</v>
      </c>
      <c r="L25" s="207">
        <v>2266</v>
      </c>
      <c r="M25" s="206">
        <v>1570</v>
      </c>
      <c r="N25" s="206">
        <v>14582</v>
      </c>
      <c r="O25" s="206">
        <v>4502</v>
      </c>
    </row>
    <row r="26" spans="1:15" ht="15.75" customHeight="1">
      <c r="A26" s="203" t="s">
        <v>333</v>
      </c>
      <c r="B26" s="307">
        <f t="shared" si="0"/>
        <v>37810</v>
      </c>
      <c r="C26" s="206">
        <v>2571</v>
      </c>
      <c r="D26" s="206">
        <v>3053</v>
      </c>
      <c r="E26" s="206">
        <v>2086</v>
      </c>
      <c r="F26" s="206">
        <v>23688</v>
      </c>
      <c r="G26" s="206">
        <v>6412</v>
      </c>
      <c r="H26" s="206"/>
      <c r="I26" s="203" t="s">
        <v>333</v>
      </c>
      <c r="J26" s="307">
        <f t="shared" si="1"/>
        <v>25015</v>
      </c>
      <c r="K26" s="206">
        <v>1916</v>
      </c>
      <c r="L26" s="207">
        <v>2309</v>
      </c>
      <c r="M26" s="206">
        <v>1557</v>
      </c>
      <c r="N26" s="206">
        <v>14607</v>
      </c>
      <c r="O26" s="206">
        <v>4626</v>
      </c>
    </row>
    <row r="27" spans="1:15" ht="15.75" customHeight="1">
      <c r="A27" s="203" t="s">
        <v>337</v>
      </c>
      <c r="B27" s="307">
        <f t="shared" si="0"/>
        <v>38114</v>
      </c>
      <c r="C27" s="206">
        <v>2583</v>
      </c>
      <c r="D27" s="206">
        <v>3018</v>
      </c>
      <c r="E27" s="206">
        <v>2036</v>
      </c>
      <c r="F27" s="206">
        <v>23812</v>
      </c>
      <c r="G27" s="206">
        <v>6665</v>
      </c>
      <c r="H27" s="206"/>
      <c r="I27" s="203" t="s">
        <v>337</v>
      </c>
      <c r="J27" s="307">
        <f t="shared" si="1"/>
        <v>25173</v>
      </c>
      <c r="K27" s="206">
        <v>1923</v>
      </c>
      <c r="L27" s="207">
        <v>2268</v>
      </c>
      <c r="M27" s="206">
        <v>1547</v>
      </c>
      <c r="N27" s="206">
        <v>14648</v>
      </c>
      <c r="O27" s="206">
        <v>4787</v>
      </c>
    </row>
    <row r="28" spans="1:15" ht="15.75" customHeight="1">
      <c r="A28" s="203" t="s">
        <v>454</v>
      </c>
      <c r="B28" s="307">
        <f t="shared" si="0"/>
        <v>38378</v>
      </c>
      <c r="C28" s="206">
        <v>2573</v>
      </c>
      <c r="D28" s="206">
        <v>3082</v>
      </c>
      <c r="E28" s="206">
        <v>1973</v>
      </c>
      <c r="F28" s="206">
        <v>23889</v>
      </c>
      <c r="G28" s="206">
        <v>6861</v>
      </c>
      <c r="H28" s="206"/>
      <c r="I28" s="203" t="s">
        <v>454</v>
      </c>
      <c r="J28" s="307">
        <f t="shared" si="1"/>
        <v>25321</v>
      </c>
      <c r="K28" s="206">
        <v>1916</v>
      </c>
      <c r="L28" s="207">
        <v>2346</v>
      </c>
      <c r="M28" s="206">
        <v>1496</v>
      </c>
      <c r="N28" s="206">
        <v>14662</v>
      </c>
      <c r="O28" s="206">
        <v>4901</v>
      </c>
    </row>
    <row r="29" spans="1:15" ht="15.75" customHeight="1">
      <c r="A29" s="203" t="s">
        <v>534</v>
      </c>
      <c r="B29" s="307">
        <f>SUM(C29:G29)</f>
        <v>38747</v>
      </c>
      <c r="C29" s="206">
        <v>2597</v>
      </c>
      <c r="D29" s="206">
        <v>3081</v>
      </c>
      <c r="E29" s="206">
        <v>1976</v>
      </c>
      <c r="F29" s="206">
        <v>24006</v>
      </c>
      <c r="G29" s="206">
        <v>7087</v>
      </c>
      <c r="H29" s="206"/>
      <c r="I29" s="203" t="s">
        <v>534</v>
      </c>
      <c r="J29" s="307">
        <f>SUM(K29:O29)</f>
        <v>25485</v>
      </c>
      <c r="K29" s="206">
        <v>1943</v>
      </c>
      <c r="L29" s="207">
        <v>2341</v>
      </c>
      <c r="M29" s="206">
        <v>1498</v>
      </c>
      <c r="N29" s="206">
        <v>14675</v>
      </c>
      <c r="O29" s="206">
        <v>5028</v>
      </c>
    </row>
    <row r="30" spans="8:15" ht="15.75" customHeight="1">
      <c r="H30" s="202"/>
      <c r="I30" s="448" t="s">
        <v>76</v>
      </c>
      <c r="J30" s="448"/>
      <c r="K30" s="448"/>
      <c r="L30" s="448"/>
      <c r="M30" s="448"/>
      <c r="N30" s="448"/>
      <c r="O30" s="448"/>
    </row>
    <row r="31" spans="8:15" ht="15.75" customHeight="1">
      <c r="H31" s="204"/>
      <c r="I31" s="203" t="s">
        <v>57</v>
      </c>
      <c r="J31" s="306">
        <v>4143</v>
      </c>
      <c r="K31" s="204">
        <v>480</v>
      </c>
      <c r="L31" s="204">
        <v>392</v>
      </c>
      <c r="M31" s="204">
        <v>439</v>
      </c>
      <c r="N31" s="204">
        <v>2553</v>
      </c>
      <c r="O31" s="204">
        <v>279</v>
      </c>
    </row>
    <row r="32" spans="8:15" ht="15.75" customHeight="1">
      <c r="H32" s="204"/>
      <c r="I32" s="203" t="s">
        <v>58</v>
      </c>
      <c r="J32" s="306">
        <v>7046</v>
      </c>
      <c r="K32" s="204">
        <v>943</v>
      </c>
      <c r="L32" s="204">
        <v>715</v>
      </c>
      <c r="M32" s="204">
        <v>639</v>
      </c>
      <c r="N32" s="204">
        <v>4334</v>
      </c>
      <c r="O32" s="204">
        <v>415</v>
      </c>
    </row>
    <row r="33" spans="8:15" ht="15.75" customHeight="1">
      <c r="H33" s="204"/>
      <c r="I33" s="203" t="s">
        <v>59</v>
      </c>
      <c r="J33" s="306">
        <v>9302</v>
      </c>
      <c r="K33" s="204">
        <v>1010</v>
      </c>
      <c r="L33" s="204">
        <v>1170</v>
      </c>
      <c r="M33" s="204">
        <v>697</v>
      </c>
      <c r="N33" s="204">
        <v>5906</v>
      </c>
      <c r="O33" s="204">
        <v>519</v>
      </c>
    </row>
    <row r="34" spans="8:15" ht="15.75" customHeight="1">
      <c r="H34" s="204"/>
      <c r="I34" s="203" t="s">
        <v>60</v>
      </c>
      <c r="J34" s="306">
        <v>10909</v>
      </c>
      <c r="K34" s="204">
        <v>1093</v>
      </c>
      <c r="L34" s="204">
        <v>1190</v>
      </c>
      <c r="M34" s="204">
        <v>798</v>
      </c>
      <c r="N34" s="204">
        <v>7181</v>
      </c>
      <c r="O34" s="204">
        <v>647</v>
      </c>
    </row>
    <row r="35" spans="8:15" ht="15.75" customHeight="1">
      <c r="H35" s="204"/>
      <c r="I35" s="203" t="s">
        <v>10</v>
      </c>
      <c r="J35" s="306">
        <v>11320</v>
      </c>
      <c r="K35" s="204">
        <v>824</v>
      </c>
      <c r="L35" s="204">
        <v>930</v>
      </c>
      <c r="M35" s="204">
        <v>596</v>
      </c>
      <c r="N35" s="204">
        <v>8146</v>
      </c>
      <c r="O35" s="204">
        <v>824</v>
      </c>
    </row>
    <row r="36" spans="8:15" ht="15.75" customHeight="1">
      <c r="H36" s="204"/>
      <c r="I36" s="203" t="s">
        <v>27</v>
      </c>
      <c r="J36" s="306">
        <v>11495</v>
      </c>
      <c r="K36" s="204">
        <v>864</v>
      </c>
      <c r="L36" s="204">
        <v>908</v>
      </c>
      <c r="M36" s="204">
        <v>588</v>
      </c>
      <c r="N36" s="204">
        <v>8306</v>
      </c>
      <c r="O36" s="204">
        <v>829</v>
      </c>
    </row>
    <row r="37" spans="8:15" ht="15.75" customHeight="1">
      <c r="H37" s="204"/>
      <c r="I37" s="203" t="s">
        <v>29</v>
      </c>
      <c r="J37" s="306">
        <v>11566</v>
      </c>
      <c r="K37" s="204">
        <v>807</v>
      </c>
      <c r="L37" s="204">
        <v>951</v>
      </c>
      <c r="M37" s="204">
        <v>587</v>
      </c>
      <c r="N37" s="204">
        <v>8346</v>
      </c>
      <c r="O37" s="204">
        <v>875</v>
      </c>
    </row>
    <row r="38" spans="8:15" ht="15.75" customHeight="1">
      <c r="H38" s="204"/>
      <c r="I38" s="203" t="s">
        <v>63</v>
      </c>
      <c r="J38" s="306">
        <v>11786</v>
      </c>
      <c r="K38" s="204">
        <v>839</v>
      </c>
      <c r="L38" s="204">
        <v>957</v>
      </c>
      <c r="M38" s="204">
        <v>589</v>
      </c>
      <c r="N38" s="204">
        <v>8507</v>
      </c>
      <c r="O38" s="204">
        <v>894</v>
      </c>
    </row>
    <row r="39" spans="8:15" ht="15.75" customHeight="1">
      <c r="H39" s="204"/>
      <c r="I39" s="203" t="s">
        <v>32</v>
      </c>
      <c r="J39" s="306">
        <v>11852</v>
      </c>
      <c r="K39" s="204">
        <v>782</v>
      </c>
      <c r="L39" s="204">
        <v>948</v>
      </c>
      <c r="M39" s="204">
        <v>596</v>
      </c>
      <c r="N39" s="204">
        <v>8586</v>
      </c>
      <c r="O39" s="204">
        <v>940</v>
      </c>
    </row>
    <row r="40" spans="8:15" ht="15.75" customHeight="1">
      <c r="H40" s="204"/>
      <c r="I40" s="203" t="s">
        <v>2</v>
      </c>
      <c r="J40" s="306">
        <v>11917</v>
      </c>
      <c r="K40" s="204">
        <v>755</v>
      </c>
      <c r="L40" s="204">
        <v>933</v>
      </c>
      <c r="M40" s="204">
        <v>604</v>
      </c>
      <c r="N40" s="204">
        <v>8630</v>
      </c>
      <c r="O40" s="204">
        <v>995</v>
      </c>
    </row>
    <row r="41" spans="8:15" ht="15.75" customHeight="1">
      <c r="H41" s="204"/>
      <c r="I41" s="203" t="s">
        <v>0</v>
      </c>
      <c r="J41" s="306">
        <v>11907</v>
      </c>
      <c r="K41" s="204">
        <v>694</v>
      </c>
      <c r="L41" s="204">
        <v>943</v>
      </c>
      <c r="M41" s="204">
        <v>602</v>
      </c>
      <c r="N41" s="204">
        <v>8625</v>
      </c>
      <c r="O41" s="204">
        <v>1043</v>
      </c>
    </row>
    <row r="42" spans="8:15" ht="15.75" customHeight="1">
      <c r="H42" s="204"/>
      <c r="I42" s="203" t="s">
        <v>30</v>
      </c>
      <c r="J42" s="306">
        <v>11862</v>
      </c>
      <c r="K42" s="204">
        <v>665</v>
      </c>
      <c r="L42" s="204">
        <v>908</v>
      </c>
      <c r="M42" s="204">
        <v>597</v>
      </c>
      <c r="N42" s="204">
        <v>8590</v>
      </c>
      <c r="O42" s="204">
        <v>1102</v>
      </c>
    </row>
    <row r="43" spans="8:15" ht="15.75" customHeight="1">
      <c r="H43" s="204"/>
      <c r="I43" s="203" t="s">
        <v>204</v>
      </c>
      <c r="J43" s="306">
        <v>11770</v>
      </c>
      <c r="K43" s="204">
        <v>632</v>
      </c>
      <c r="L43" s="204">
        <v>899</v>
      </c>
      <c r="M43" s="204">
        <v>560</v>
      </c>
      <c r="N43" s="204">
        <v>8524</v>
      </c>
      <c r="O43" s="204">
        <v>1155</v>
      </c>
    </row>
    <row r="44" spans="8:15" ht="15.75" customHeight="1">
      <c r="H44" s="204"/>
      <c r="I44" s="203" t="s">
        <v>252</v>
      </c>
      <c r="J44" s="306">
        <v>11886</v>
      </c>
      <c r="K44" s="204">
        <v>661</v>
      </c>
      <c r="L44" s="204">
        <v>857</v>
      </c>
      <c r="M44" s="204">
        <v>551</v>
      </c>
      <c r="N44" s="204">
        <v>8586</v>
      </c>
      <c r="O44" s="204">
        <v>1231</v>
      </c>
    </row>
    <row r="45" spans="8:15" ht="15.75" customHeight="1">
      <c r="H45" s="204"/>
      <c r="I45" s="203" t="s">
        <v>258</v>
      </c>
      <c r="J45" s="306">
        <v>12004</v>
      </c>
      <c r="K45" s="204">
        <v>638</v>
      </c>
      <c r="L45" s="204">
        <v>841</v>
      </c>
      <c r="M45" s="204">
        <v>558</v>
      </c>
      <c r="N45" s="204">
        <v>8698</v>
      </c>
      <c r="O45" s="204">
        <v>1269</v>
      </c>
    </row>
    <row r="46" spans="8:15" ht="15.75" customHeight="1">
      <c r="H46" s="204"/>
      <c r="I46" s="203" t="s">
        <v>263</v>
      </c>
      <c r="J46" s="307">
        <v>12144</v>
      </c>
      <c r="K46" s="206">
        <v>637</v>
      </c>
      <c r="L46" s="206">
        <v>843</v>
      </c>
      <c r="M46" s="206">
        <v>554</v>
      </c>
      <c r="N46" s="206">
        <v>8783</v>
      </c>
      <c r="O46" s="206">
        <v>1327</v>
      </c>
    </row>
    <row r="47" spans="8:15" ht="15.75" customHeight="1">
      <c r="H47" s="204"/>
      <c r="I47" s="203" t="s">
        <v>275</v>
      </c>
      <c r="J47" s="307">
        <f aca="true" t="shared" si="2" ref="J47:J53">SUM(K47:O47)</f>
        <v>12337</v>
      </c>
      <c r="K47" s="206">
        <v>631</v>
      </c>
      <c r="L47" s="206">
        <v>827</v>
      </c>
      <c r="M47" s="206">
        <v>570</v>
      </c>
      <c r="N47" s="206">
        <v>8896</v>
      </c>
      <c r="O47" s="206">
        <v>1413</v>
      </c>
    </row>
    <row r="48" spans="8:15" ht="15.75" customHeight="1">
      <c r="H48" s="204"/>
      <c r="I48" s="203" t="s">
        <v>299</v>
      </c>
      <c r="J48" s="307">
        <f t="shared" si="2"/>
        <v>12519</v>
      </c>
      <c r="K48" s="206">
        <v>643</v>
      </c>
      <c r="L48" s="206">
        <v>780</v>
      </c>
      <c r="M48" s="206">
        <v>576</v>
      </c>
      <c r="N48" s="206">
        <v>8979</v>
      </c>
      <c r="O48" s="206">
        <v>1541</v>
      </c>
    </row>
    <row r="49" spans="8:15" ht="15.75" customHeight="1">
      <c r="H49" s="204"/>
      <c r="I49" s="203" t="s">
        <v>306</v>
      </c>
      <c r="J49" s="307">
        <f t="shared" si="2"/>
        <v>12579</v>
      </c>
      <c r="K49" s="206">
        <v>642</v>
      </c>
      <c r="L49" s="206">
        <v>762</v>
      </c>
      <c r="M49" s="206">
        <v>564</v>
      </c>
      <c r="N49" s="206">
        <v>9007</v>
      </c>
      <c r="O49" s="206">
        <v>1604</v>
      </c>
    </row>
    <row r="50" spans="8:15" ht="15.75" customHeight="1">
      <c r="H50" s="204"/>
      <c r="I50" s="203" t="s">
        <v>314</v>
      </c>
      <c r="J50" s="307">
        <f t="shared" si="2"/>
        <v>12775</v>
      </c>
      <c r="K50" s="206">
        <v>662</v>
      </c>
      <c r="L50" s="206">
        <v>755</v>
      </c>
      <c r="M50" s="206">
        <v>552</v>
      </c>
      <c r="N50" s="206">
        <v>9109</v>
      </c>
      <c r="O50" s="206">
        <v>1697</v>
      </c>
    </row>
    <row r="51" spans="8:15" ht="15.75" customHeight="1">
      <c r="H51" s="206"/>
      <c r="I51" s="203" t="s">
        <v>333</v>
      </c>
      <c r="J51" s="307">
        <f t="shared" si="2"/>
        <v>12795</v>
      </c>
      <c r="K51" s="206">
        <v>655</v>
      </c>
      <c r="L51" s="206">
        <v>744</v>
      </c>
      <c r="M51" s="206">
        <v>529</v>
      </c>
      <c r="N51" s="206">
        <v>9081</v>
      </c>
      <c r="O51" s="206">
        <v>1786</v>
      </c>
    </row>
    <row r="52" spans="8:15" ht="15.75" customHeight="1">
      <c r="H52" s="206"/>
      <c r="I52" s="203" t="s">
        <v>337</v>
      </c>
      <c r="J52" s="307">
        <f t="shared" si="2"/>
        <v>12941</v>
      </c>
      <c r="K52" s="206">
        <v>660</v>
      </c>
      <c r="L52" s="206">
        <v>750</v>
      </c>
      <c r="M52" s="206">
        <v>489</v>
      </c>
      <c r="N52" s="206">
        <v>9164</v>
      </c>
      <c r="O52" s="206">
        <v>1878</v>
      </c>
    </row>
    <row r="53" spans="8:15" ht="15.75" customHeight="1">
      <c r="H53" s="206"/>
      <c r="I53" s="203" t="s">
        <v>454</v>
      </c>
      <c r="J53" s="307">
        <f t="shared" si="2"/>
        <v>13057</v>
      </c>
      <c r="K53" s="206">
        <v>657</v>
      </c>
      <c r="L53" s="206">
        <v>736</v>
      </c>
      <c r="M53" s="206">
        <v>477</v>
      </c>
      <c r="N53" s="206">
        <v>9227</v>
      </c>
      <c r="O53" s="206">
        <v>1960</v>
      </c>
    </row>
    <row r="54" spans="1:15" ht="15.75" customHeight="1" thickBot="1">
      <c r="A54" s="208"/>
      <c r="B54" s="208"/>
      <c r="C54" s="208"/>
      <c r="D54" s="208"/>
      <c r="E54" s="208"/>
      <c r="F54" s="208"/>
      <c r="G54" s="208"/>
      <c r="H54" s="209"/>
      <c r="I54" s="210" t="s">
        <v>534</v>
      </c>
      <c r="J54" s="308">
        <f>SUM(K54:O54)</f>
        <v>13262</v>
      </c>
      <c r="K54" s="308">
        <v>654</v>
      </c>
      <c r="L54" s="308">
        <v>740</v>
      </c>
      <c r="M54" s="308">
        <v>478</v>
      </c>
      <c r="N54" s="308">
        <v>9331</v>
      </c>
      <c r="O54" s="308">
        <v>2059</v>
      </c>
    </row>
    <row r="55" spans="1:15" ht="15.75" customHeight="1">
      <c r="A55" s="391" t="s">
        <v>635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</row>
  </sheetData>
  <sheetProtection/>
  <mergeCells count="8">
    <mergeCell ref="A55:O55"/>
    <mergeCell ref="I30:O30"/>
    <mergeCell ref="A1:O1"/>
    <mergeCell ref="C3:G3"/>
    <mergeCell ref="I5:O5"/>
    <mergeCell ref="A5:G5"/>
    <mergeCell ref="K3:O3"/>
    <mergeCell ref="A2:O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landscape" paperSize="9" scale="68" r:id="rId2"/>
  <ignoredErrors>
    <ignoredError sqref="A16:A19 A6:A9 A11:A15 A10" numberStoredAsText="1"/>
  </ignoredError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zoomScale="85" zoomScaleNormal="85" zoomScalePageLayoutView="0" workbookViewId="0" topLeftCell="A1">
      <selection activeCell="K37" sqref="K37"/>
    </sheetView>
  </sheetViews>
  <sheetFormatPr defaultColWidth="11.421875" defaultRowHeight="12.75"/>
  <cols>
    <col min="1" max="1" width="9.7109375" style="25" customWidth="1"/>
    <col min="2" max="2" width="10.00390625" style="25" bestFit="1" customWidth="1"/>
    <col min="3" max="3" width="6.57421875" style="25" bestFit="1" customWidth="1"/>
    <col min="4" max="4" width="7.421875" style="25" bestFit="1" customWidth="1"/>
    <col min="5" max="6" width="8.7109375" style="25" bestFit="1" customWidth="1"/>
    <col min="7" max="7" width="6.57421875" style="25" bestFit="1" customWidth="1"/>
    <col min="8" max="8" width="6.57421875" style="25" customWidth="1"/>
    <col min="9" max="9" width="9.7109375" style="25" customWidth="1"/>
    <col min="10" max="10" width="10.00390625" style="25" bestFit="1" customWidth="1"/>
    <col min="11" max="11" width="6.57421875" style="25" bestFit="1" customWidth="1"/>
    <col min="12" max="12" width="7.421875" style="25" bestFit="1" customWidth="1"/>
    <col min="13" max="14" width="8.7109375" style="25" bestFit="1" customWidth="1"/>
    <col min="15" max="15" width="6.57421875" style="25" bestFit="1" customWidth="1"/>
    <col min="16" max="16384" width="11.421875" style="25" customWidth="1"/>
  </cols>
  <sheetData>
    <row r="1" spans="1:15" ht="18">
      <c r="A1" s="445" t="s">
        <v>200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75" customHeight="1" thickBot="1">
      <c r="A2" s="390" t="s">
        <v>467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2:15" s="182" customFormat="1" ht="15.75" customHeight="1">
      <c r="B3" s="367" t="s">
        <v>121</v>
      </c>
      <c r="C3" s="449" t="s">
        <v>206</v>
      </c>
      <c r="D3" s="449"/>
      <c r="E3" s="449"/>
      <c r="F3" s="449"/>
      <c r="G3" s="449"/>
      <c r="H3" s="367"/>
      <c r="I3" s="366"/>
      <c r="J3" s="367" t="s">
        <v>121</v>
      </c>
      <c r="K3" s="449" t="s">
        <v>205</v>
      </c>
      <c r="L3" s="449"/>
      <c r="M3" s="449"/>
      <c r="N3" s="449"/>
      <c r="O3" s="449"/>
    </row>
    <row r="4" spans="1:15" ht="15.75" customHeight="1">
      <c r="A4" s="372" t="s">
        <v>4</v>
      </c>
      <c r="B4" s="65"/>
      <c r="C4" s="375" t="s">
        <v>5</v>
      </c>
      <c r="D4" s="375" t="s">
        <v>6</v>
      </c>
      <c r="E4" s="375" t="s">
        <v>7</v>
      </c>
      <c r="F4" s="375" t="s">
        <v>8</v>
      </c>
      <c r="G4" s="375" t="s">
        <v>9</v>
      </c>
      <c r="H4" s="65"/>
      <c r="I4" s="374" t="s">
        <v>4</v>
      </c>
      <c r="J4" s="65"/>
      <c r="K4" s="375" t="s">
        <v>5</v>
      </c>
      <c r="L4" s="375" t="s">
        <v>6</v>
      </c>
      <c r="M4" s="375" t="s">
        <v>7</v>
      </c>
      <c r="N4" s="375" t="s">
        <v>8</v>
      </c>
      <c r="O4" s="375" t="s">
        <v>9</v>
      </c>
    </row>
    <row r="5" spans="1:15" ht="15.75" customHeight="1">
      <c r="A5" s="203" t="s">
        <v>57</v>
      </c>
      <c r="B5" s="306">
        <f aca="true" t="shared" si="0" ref="B5:B15">SUM(C5:G5)</f>
        <v>6273</v>
      </c>
      <c r="C5" s="204">
        <v>923</v>
      </c>
      <c r="D5" s="204">
        <v>1000</v>
      </c>
      <c r="E5" s="204">
        <v>535</v>
      </c>
      <c r="F5" s="204">
        <v>3252</v>
      </c>
      <c r="G5" s="204">
        <v>563</v>
      </c>
      <c r="H5" s="204"/>
      <c r="I5" s="203" t="s">
        <v>57</v>
      </c>
      <c r="J5" s="204">
        <f aca="true" t="shared" si="1" ref="J5:J15">SUM(K5:O5)</f>
        <v>6212</v>
      </c>
      <c r="K5" s="204">
        <v>950</v>
      </c>
      <c r="L5" s="204">
        <v>1047</v>
      </c>
      <c r="M5" s="204">
        <v>532</v>
      </c>
      <c r="N5" s="204">
        <v>3203</v>
      </c>
      <c r="O5" s="204">
        <v>480</v>
      </c>
    </row>
    <row r="6" spans="1:15" ht="15.75" customHeight="1">
      <c r="A6" s="203" t="s">
        <v>58</v>
      </c>
      <c r="B6" s="306">
        <f t="shared" si="0"/>
        <v>7263</v>
      </c>
      <c r="C6" s="204">
        <v>987</v>
      </c>
      <c r="D6" s="204">
        <v>1120</v>
      </c>
      <c r="E6" s="204">
        <v>558</v>
      </c>
      <c r="F6" s="204">
        <v>3872</v>
      </c>
      <c r="G6" s="204">
        <v>726</v>
      </c>
      <c r="H6" s="204"/>
      <c r="I6" s="203" t="s">
        <v>58</v>
      </c>
      <c r="J6" s="204">
        <f t="shared" si="1"/>
        <v>7041</v>
      </c>
      <c r="K6" s="204">
        <v>1006</v>
      </c>
      <c r="L6" s="204">
        <v>1190</v>
      </c>
      <c r="M6" s="204">
        <v>606</v>
      </c>
      <c r="N6" s="204">
        <v>3699</v>
      </c>
      <c r="O6" s="204">
        <v>540</v>
      </c>
    </row>
    <row r="7" spans="1:15" ht="15.75" customHeight="1">
      <c r="A7" s="203" t="s">
        <v>59</v>
      </c>
      <c r="B7" s="306">
        <f t="shared" si="0"/>
        <v>8526</v>
      </c>
      <c r="C7" s="204">
        <v>738</v>
      </c>
      <c r="D7" s="204">
        <v>1082</v>
      </c>
      <c r="E7" s="204">
        <v>628</v>
      </c>
      <c r="F7" s="204">
        <v>5016</v>
      </c>
      <c r="G7" s="204">
        <v>1062</v>
      </c>
      <c r="H7" s="204"/>
      <c r="I7" s="203" t="s">
        <v>59</v>
      </c>
      <c r="J7" s="204">
        <f t="shared" si="1"/>
        <v>7387</v>
      </c>
      <c r="K7" s="204">
        <v>717</v>
      </c>
      <c r="L7" s="204">
        <v>1071</v>
      </c>
      <c r="M7" s="204">
        <v>724</v>
      </c>
      <c r="N7" s="204">
        <v>4189</v>
      </c>
      <c r="O7" s="204">
        <v>686</v>
      </c>
    </row>
    <row r="8" spans="1:15" ht="15.75" customHeight="1">
      <c r="A8" s="205">
        <v>1990</v>
      </c>
      <c r="B8" s="306">
        <f t="shared" si="0"/>
        <v>9618</v>
      </c>
      <c r="C8" s="204">
        <v>731</v>
      </c>
      <c r="D8" s="204">
        <v>870</v>
      </c>
      <c r="E8" s="204">
        <v>641</v>
      </c>
      <c r="F8" s="204">
        <v>5982</v>
      </c>
      <c r="G8" s="204">
        <v>1394</v>
      </c>
      <c r="H8" s="204"/>
      <c r="I8" s="205">
        <v>1990</v>
      </c>
      <c r="J8" s="204">
        <f t="shared" si="1"/>
        <v>8505</v>
      </c>
      <c r="K8" s="204">
        <v>767</v>
      </c>
      <c r="L8" s="204">
        <v>871</v>
      </c>
      <c r="M8" s="204">
        <v>624</v>
      </c>
      <c r="N8" s="204">
        <v>5393</v>
      </c>
      <c r="O8" s="204">
        <v>850</v>
      </c>
    </row>
    <row r="9" spans="1:15" ht="15.75" customHeight="1">
      <c r="A9" s="203" t="s">
        <v>10</v>
      </c>
      <c r="B9" s="306">
        <f t="shared" si="0"/>
        <v>11258</v>
      </c>
      <c r="C9" s="204">
        <v>996</v>
      </c>
      <c r="D9" s="204">
        <v>1155</v>
      </c>
      <c r="E9" s="204">
        <v>704</v>
      </c>
      <c r="F9" s="204">
        <v>6741</v>
      </c>
      <c r="G9" s="204">
        <v>1662</v>
      </c>
      <c r="H9" s="204"/>
      <c r="I9" s="203" t="s">
        <v>10</v>
      </c>
      <c r="J9" s="204">
        <f t="shared" si="1"/>
        <v>10285</v>
      </c>
      <c r="K9" s="204">
        <v>997</v>
      </c>
      <c r="L9" s="204">
        <v>1186</v>
      </c>
      <c r="M9" s="204">
        <v>740</v>
      </c>
      <c r="N9" s="204">
        <v>6408</v>
      </c>
      <c r="O9" s="204">
        <v>954</v>
      </c>
    </row>
    <row r="10" spans="1:15" ht="15.75" customHeight="1">
      <c r="A10" s="203" t="s">
        <v>27</v>
      </c>
      <c r="B10" s="306">
        <f t="shared" si="0"/>
        <v>11448</v>
      </c>
      <c r="C10" s="204">
        <v>1004</v>
      </c>
      <c r="D10" s="204">
        <v>1173</v>
      </c>
      <c r="E10" s="204">
        <v>712</v>
      </c>
      <c r="F10" s="204">
        <v>6864</v>
      </c>
      <c r="G10" s="204">
        <v>1695</v>
      </c>
      <c r="H10" s="204"/>
      <c r="I10" s="203" t="s">
        <v>27</v>
      </c>
      <c r="J10" s="204">
        <f t="shared" si="1"/>
        <v>10582</v>
      </c>
      <c r="K10" s="204">
        <v>1017</v>
      </c>
      <c r="L10" s="204">
        <v>1223</v>
      </c>
      <c r="M10" s="204">
        <v>740</v>
      </c>
      <c r="N10" s="204">
        <v>6616</v>
      </c>
      <c r="O10" s="204">
        <v>986</v>
      </c>
    </row>
    <row r="11" spans="1:15" ht="15.75" customHeight="1">
      <c r="A11" s="203" t="s">
        <v>29</v>
      </c>
      <c r="B11" s="306">
        <f t="shared" si="0"/>
        <v>11566</v>
      </c>
      <c r="C11" s="204">
        <v>1011</v>
      </c>
      <c r="D11" s="204">
        <v>1182</v>
      </c>
      <c r="E11" s="204">
        <v>705</v>
      </c>
      <c r="F11" s="204">
        <v>6920</v>
      </c>
      <c r="G11" s="204">
        <v>1748</v>
      </c>
      <c r="H11" s="204"/>
      <c r="I11" s="203" t="s">
        <v>29</v>
      </c>
      <c r="J11" s="204">
        <f t="shared" si="1"/>
        <v>10731</v>
      </c>
      <c r="K11" s="204">
        <v>998</v>
      </c>
      <c r="L11" s="204">
        <v>1229</v>
      </c>
      <c r="M11" s="204">
        <v>747</v>
      </c>
      <c r="N11" s="204">
        <v>6733</v>
      </c>
      <c r="O11" s="204">
        <v>1024</v>
      </c>
    </row>
    <row r="12" spans="1:15" ht="15.75" customHeight="1">
      <c r="A12" s="203" t="s">
        <v>63</v>
      </c>
      <c r="B12" s="306">
        <f t="shared" si="0"/>
        <v>11655</v>
      </c>
      <c r="C12" s="204">
        <v>981</v>
      </c>
      <c r="D12" s="204">
        <v>1193</v>
      </c>
      <c r="E12" s="204">
        <v>727</v>
      </c>
      <c r="F12" s="204">
        <v>6974</v>
      </c>
      <c r="G12" s="204">
        <v>1780</v>
      </c>
      <c r="H12" s="204"/>
      <c r="I12" s="203" t="s">
        <v>63</v>
      </c>
      <c r="J12" s="204">
        <f t="shared" si="1"/>
        <v>10853</v>
      </c>
      <c r="K12" s="204">
        <v>977</v>
      </c>
      <c r="L12" s="204">
        <v>1209</v>
      </c>
      <c r="M12" s="204">
        <v>780</v>
      </c>
      <c r="N12" s="204">
        <v>6849</v>
      </c>
      <c r="O12" s="204">
        <v>1038</v>
      </c>
    </row>
    <row r="13" spans="1:15" ht="15.75" customHeight="1">
      <c r="A13" s="203" t="s">
        <v>32</v>
      </c>
      <c r="B13" s="306">
        <f t="shared" si="0"/>
        <v>11764</v>
      </c>
      <c r="C13" s="204">
        <v>968</v>
      </c>
      <c r="D13" s="204">
        <v>1221</v>
      </c>
      <c r="E13" s="204">
        <v>717</v>
      </c>
      <c r="F13" s="204">
        <v>7036</v>
      </c>
      <c r="G13" s="204">
        <v>1822</v>
      </c>
      <c r="H13" s="204"/>
      <c r="I13" s="203" t="s">
        <v>32</v>
      </c>
      <c r="J13" s="204">
        <f t="shared" si="1"/>
        <v>10984</v>
      </c>
      <c r="K13" s="204">
        <v>963</v>
      </c>
      <c r="L13" s="204">
        <v>1207</v>
      </c>
      <c r="M13" s="204">
        <v>794</v>
      </c>
      <c r="N13" s="204">
        <v>6931</v>
      </c>
      <c r="O13" s="204">
        <v>1089</v>
      </c>
    </row>
    <row r="14" spans="1:15" ht="15.75" customHeight="1">
      <c r="A14" s="203" t="s">
        <v>2</v>
      </c>
      <c r="B14" s="306">
        <f t="shared" si="0"/>
        <v>11860</v>
      </c>
      <c r="C14" s="204">
        <v>964</v>
      </c>
      <c r="D14" s="204">
        <v>1217</v>
      </c>
      <c r="E14" s="204">
        <v>720</v>
      </c>
      <c r="F14" s="204">
        <v>7067</v>
      </c>
      <c r="G14" s="204">
        <v>1892</v>
      </c>
      <c r="H14" s="204"/>
      <c r="I14" s="203" t="s">
        <v>2</v>
      </c>
      <c r="J14" s="204">
        <f t="shared" si="1"/>
        <v>11128</v>
      </c>
      <c r="K14" s="204">
        <v>978</v>
      </c>
      <c r="L14" s="204">
        <v>1212</v>
      </c>
      <c r="M14" s="204">
        <v>788</v>
      </c>
      <c r="N14" s="204">
        <v>7002</v>
      </c>
      <c r="O14" s="204">
        <v>1148</v>
      </c>
    </row>
    <row r="15" spans="1:15" ht="15.75" customHeight="1">
      <c r="A15" s="203" t="s">
        <v>0</v>
      </c>
      <c r="B15" s="306">
        <f t="shared" si="0"/>
        <v>11985</v>
      </c>
      <c r="C15" s="204">
        <v>962</v>
      </c>
      <c r="D15" s="204">
        <v>1215</v>
      </c>
      <c r="E15" s="204">
        <v>748</v>
      </c>
      <c r="F15" s="204">
        <v>7107</v>
      </c>
      <c r="G15" s="204">
        <v>1953</v>
      </c>
      <c r="H15" s="204"/>
      <c r="I15" s="203" t="s">
        <v>0</v>
      </c>
      <c r="J15" s="204">
        <f t="shared" si="1"/>
        <v>11276</v>
      </c>
      <c r="K15" s="204">
        <v>1008</v>
      </c>
      <c r="L15" s="204">
        <v>1170</v>
      </c>
      <c r="M15" s="204">
        <v>827</v>
      </c>
      <c r="N15" s="204">
        <v>7066</v>
      </c>
      <c r="O15" s="204">
        <v>1205</v>
      </c>
    </row>
    <row r="16" spans="1:15" ht="15.75" customHeight="1">
      <c r="A16" s="203" t="s">
        <v>30</v>
      </c>
      <c r="B16" s="306">
        <v>12079</v>
      </c>
      <c r="C16" s="204">
        <v>939</v>
      </c>
      <c r="D16" s="204">
        <v>1212</v>
      </c>
      <c r="E16" s="204">
        <v>770</v>
      </c>
      <c r="F16" s="204">
        <v>7139</v>
      </c>
      <c r="G16" s="204">
        <v>2019</v>
      </c>
      <c r="H16" s="204"/>
      <c r="I16" s="203" t="s">
        <v>30</v>
      </c>
      <c r="J16" s="204">
        <v>11415</v>
      </c>
      <c r="K16" s="204">
        <v>996</v>
      </c>
      <c r="L16" s="204">
        <v>1205</v>
      </c>
      <c r="M16" s="204">
        <v>794</v>
      </c>
      <c r="N16" s="204">
        <v>7153</v>
      </c>
      <c r="O16" s="204">
        <v>1267</v>
      </c>
    </row>
    <row r="17" spans="1:15" ht="15.75" customHeight="1">
      <c r="A17" s="203" t="s">
        <v>204</v>
      </c>
      <c r="B17" s="306">
        <v>12206</v>
      </c>
      <c r="C17" s="204">
        <v>928</v>
      </c>
      <c r="D17" s="204">
        <v>1188</v>
      </c>
      <c r="E17" s="204">
        <v>786</v>
      </c>
      <c r="F17" s="204">
        <v>7212</v>
      </c>
      <c r="G17" s="204">
        <v>2092</v>
      </c>
      <c r="H17" s="204"/>
      <c r="I17" s="203" t="s">
        <v>204</v>
      </c>
      <c r="J17" s="204">
        <v>11613</v>
      </c>
      <c r="K17" s="204">
        <v>1007</v>
      </c>
      <c r="L17" s="204">
        <v>1192</v>
      </c>
      <c r="M17" s="204">
        <v>802</v>
      </c>
      <c r="N17" s="204">
        <v>7257</v>
      </c>
      <c r="O17" s="204">
        <v>1355</v>
      </c>
    </row>
    <row r="18" spans="1:15" ht="15.75" customHeight="1">
      <c r="A18" s="203" t="s">
        <v>252</v>
      </c>
      <c r="B18" s="306">
        <v>12295</v>
      </c>
      <c r="C18" s="204">
        <v>915</v>
      </c>
      <c r="D18" s="204">
        <v>1219</v>
      </c>
      <c r="E18" s="204">
        <v>783</v>
      </c>
      <c r="F18" s="204">
        <v>7190</v>
      </c>
      <c r="G18" s="204">
        <v>2188</v>
      </c>
      <c r="H18" s="204"/>
      <c r="I18" s="203" t="s">
        <v>252</v>
      </c>
      <c r="J18" s="204">
        <v>11713</v>
      </c>
      <c r="K18" s="204">
        <v>1029</v>
      </c>
      <c r="L18" s="204">
        <v>1200</v>
      </c>
      <c r="M18" s="204">
        <v>789</v>
      </c>
      <c r="N18" s="204">
        <v>7261</v>
      </c>
      <c r="O18" s="204">
        <v>1434</v>
      </c>
    </row>
    <row r="19" spans="1:15" ht="15.75" customHeight="1">
      <c r="A19" s="203" t="s">
        <v>258</v>
      </c>
      <c r="B19" s="306">
        <v>12341</v>
      </c>
      <c r="C19" s="204">
        <v>924</v>
      </c>
      <c r="D19" s="204">
        <v>1175</v>
      </c>
      <c r="E19" s="204">
        <v>786</v>
      </c>
      <c r="F19" s="204">
        <v>7213</v>
      </c>
      <c r="G19" s="204">
        <v>2243</v>
      </c>
      <c r="H19" s="204"/>
      <c r="I19" s="203" t="s">
        <v>258</v>
      </c>
      <c r="J19" s="204">
        <v>11804</v>
      </c>
      <c r="K19" s="204">
        <v>1038</v>
      </c>
      <c r="L19" s="204">
        <v>1159</v>
      </c>
      <c r="M19" s="204">
        <v>811</v>
      </c>
      <c r="N19" s="204">
        <v>7286</v>
      </c>
      <c r="O19" s="204">
        <v>1510</v>
      </c>
    </row>
    <row r="20" spans="1:15" ht="15.75" customHeight="1">
      <c r="A20" s="203" t="s">
        <v>263</v>
      </c>
      <c r="B20" s="307">
        <v>12436</v>
      </c>
      <c r="C20" s="206">
        <v>928</v>
      </c>
      <c r="D20" s="206">
        <v>1167</v>
      </c>
      <c r="E20" s="206">
        <v>787</v>
      </c>
      <c r="F20" s="206">
        <v>7233</v>
      </c>
      <c r="G20" s="206">
        <v>2321</v>
      </c>
      <c r="H20" s="206"/>
      <c r="I20" s="203" t="s">
        <v>263</v>
      </c>
      <c r="J20" s="206">
        <v>11895</v>
      </c>
      <c r="K20" s="206">
        <v>1043</v>
      </c>
      <c r="L20" s="206">
        <v>1147</v>
      </c>
      <c r="M20" s="206">
        <v>794</v>
      </c>
      <c r="N20" s="206">
        <v>7323</v>
      </c>
      <c r="O20" s="206">
        <v>1588</v>
      </c>
    </row>
    <row r="21" spans="1:15" ht="15.75" customHeight="1">
      <c r="A21" s="203" t="s">
        <v>275</v>
      </c>
      <c r="B21" s="307">
        <f aca="true" t="shared" si="2" ref="B21:B27">SUM(C21:G21)</f>
        <v>12484</v>
      </c>
      <c r="C21" s="206">
        <v>907</v>
      </c>
      <c r="D21" s="206">
        <v>1157</v>
      </c>
      <c r="E21" s="206">
        <v>791</v>
      </c>
      <c r="F21" s="206">
        <v>7219</v>
      </c>
      <c r="G21" s="206">
        <v>2410</v>
      </c>
      <c r="H21" s="206"/>
      <c r="I21" s="203" t="s">
        <v>275</v>
      </c>
      <c r="J21" s="206">
        <f aca="true" t="shared" si="3" ref="J21:J27">SUM(K21:O21)</f>
        <v>12017</v>
      </c>
      <c r="K21" s="206">
        <v>1044</v>
      </c>
      <c r="L21" s="40">
        <v>1130</v>
      </c>
      <c r="M21" s="206">
        <v>827</v>
      </c>
      <c r="N21" s="206">
        <v>7348</v>
      </c>
      <c r="O21" s="206">
        <v>1668</v>
      </c>
    </row>
    <row r="22" spans="1:15" ht="15.75" customHeight="1">
      <c r="A22" s="203" t="s">
        <v>299</v>
      </c>
      <c r="B22" s="307">
        <f t="shared" si="2"/>
        <v>12525</v>
      </c>
      <c r="C22" s="206">
        <v>893</v>
      </c>
      <c r="D22" s="206">
        <v>1154</v>
      </c>
      <c r="E22" s="206">
        <v>780</v>
      </c>
      <c r="F22" s="206">
        <v>7208</v>
      </c>
      <c r="G22" s="206">
        <v>2490</v>
      </c>
      <c r="H22" s="206"/>
      <c r="I22" s="203" t="s">
        <v>299</v>
      </c>
      <c r="J22" s="206">
        <f t="shared" si="3"/>
        <v>12085</v>
      </c>
      <c r="K22" s="206">
        <v>1036</v>
      </c>
      <c r="L22" s="40">
        <v>1142</v>
      </c>
      <c r="M22" s="206">
        <v>799</v>
      </c>
      <c r="N22" s="206">
        <v>7368</v>
      </c>
      <c r="O22" s="206">
        <v>1740</v>
      </c>
    </row>
    <row r="23" spans="1:15" ht="15.75" customHeight="1">
      <c r="A23" s="203" t="s">
        <v>306</v>
      </c>
      <c r="B23" s="307">
        <f t="shared" si="2"/>
        <v>12582</v>
      </c>
      <c r="C23" s="206">
        <v>895</v>
      </c>
      <c r="D23" s="206">
        <v>1125</v>
      </c>
      <c r="E23" s="206">
        <v>812</v>
      </c>
      <c r="F23" s="206">
        <v>7200</v>
      </c>
      <c r="G23" s="206">
        <v>2550</v>
      </c>
      <c r="H23" s="206"/>
      <c r="I23" s="203" t="s">
        <v>306</v>
      </c>
      <c r="J23" s="206">
        <f t="shared" si="3"/>
        <v>12205</v>
      </c>
      <c r="K23" s="206">
        <v>1054</v>
      </c>
      <c r="L23" s="40">
        <v>1171</v>
      </c>
      <c r="M23" s="206">
        <v>782</v>
      </c>
      <c r="N23" s="206">
        <v>7378</v>
      </c>
      <c r="O23" s="206">
        <v>1820</v>
      </c>
    </row>
    <row r="24" spans="1:15" ht="15.75" customHeight="1">
      <c r="A24" s="203" t="s">
        <v>314</v>
      </c>
      <c r="B24" s="307">
        <f t="shared" si="2"/>
        <v>12604</v>
      </c>
      <c r="C24" s="206">
        <v>907</v>
      </c>
      <c r="D24" s="206">
        <v>1094</v>
      </c>
      <c r="E24" s="206">
        <v>805</v>
      </c>
      <c r="F24" s="206">
        <v>7179</v>
      </c>
      <c r="G24" s="206">
        <v>2619</v>
      </c>
      <c r="H24" s="206"/>
      <c r="I24" s="203" t="s">
        <v>314</v>
      </c>
      <c r="J24" s="206">
        <f t="shared" si="3"/>
        <v>12243</v>
      </c>
      <c r="K24" s="206">
        <v>1020</v>
      </c>
      <c r="L24" s="40">
        <v>1172</v>
      </c>
      <c r="M24" s="206">
        <v>765</v>
      </c>
      <c r="N24" s="206">
        <v>7403</v>
      </c>
      <c r="O24" s="206">
        <v>1883</v>
      </c>
    </row>
    <row r="25" spans="1:15" ht="15.75" customHeight="1">
      <c r="A25" s="203" t="s">
        <v>333</v>
      </c>
      <c r="B25" s="307">
        <f t="shared" si="2"/>
        <v>12682</v>
      </c>
      <c r="C25" s="206">
        <v>904</v>
      </c>
      <c r="D25" s="206">
        <v>1109</v>
      </c>
      <c r="E25" s="206">
        <v>785</v>
      </c>
      <c r="F25" s="206">
        <v>7203</v>
      </c>
      <c r="G25" s="206">
        <v>2681</v>
      </c>
      <c r="H25" s="206"/>
      <c r="I25" s="203" t="s">
        <v>333</v>
      </c>
      <c r="J25" s="206">
        <f t="shared" si="3"/>
        <v>12333</v>
      </c>
      <c r="K25" s="206">
        <v>1012</v>
      </c>
      <c r="L25" s="40">
        <v>1200</v>
      </c>
      <c r="M25" s="206">
        <v>772</v>
      </c>
      <c r="N25" s="206">
        <v>7404</v>
      </c>
      <c r="O25" s="206">
        <v>1945</v>
      </c>
    </row>
    <row r="26" spans="1:15" ht="15.75" customHeight="1">
      <c r="A26" s="203" t="s">
        <v>337</v>
      </c>
      <c r="B26" s="307">
        <f t="shared" si="2"/>
        <v>12781</v>
      </c>
      <c r="C26" s="206">
        <v>914</v>
      </c>
      <c r="D26" s="206">
        <v>1080</v>
      </c>
      <c r="E26" s="206">
        <v>787</v>
      </c>
      <c r="F26" s="206">
        <v>7207</v>
      </c>
      <c r="G26" s="206">
        <v>2793</v>
      </c>
      <c r="H26" s="206"/>
      <c r="I26" s="203" t="s">
        <v>337</v>
      </c>
      <c r="J26" s="206">
        <f t="shared" si="3"/>
        <v>12392</v>
      </c>
      <c r="K26" s="206">
        <v>1009</v>
      </c>
      <c r="L26" s="40">
        <v>1188</v>
      </c>
      <c r="M26" s="206">
        <v>760</v>
      </c>
      <c r="N26" s="206">
        <v>7441</v>
      </c>
      <c r="O26" s="206">
        <v>1994</v>
      </c>
    </row>
    <row r="27" spans="1:15" ht="15.75" customHeight="1">
      <c r="A27" s="203" t="s">
        <v>454</v>
      </c>
      <c r="B27" s="307">
        <f t="shared" si="2"/>
        <v>12839</v>
      </c>
      <c r="C27" s="206">
        <v>915</v>
      </c>
      <c r="D27" s="206">
        <v>1113</v>
      </c>
      <c r="E27" s="206">
        <v>751</v>
      </c>
      <c r="F27" s="206">
        <v>7218</v>
      </c>
      <c r="G27" s="206">
        <v>2842</v>
      </c>
      <c r="H27" s="206"/>
      <c r="I27" s="203" t="s">
        <v>454</v>
      </c>
      <c r="J27" s="206">
        <f t="shared" si="3"/>
        <v>12482</v>
      </c>
      <c r="K27" s="206">
        <v>1001</v>
      </c>
      <c r="L27" s="40">
        <v>1233</v>
      </c>
      <c r="M27" s="206">
        <v>745</v>
      </c>
      <c r="N27" s="206">
        <v>7444</v>
      </c>
      <c r="O27" s="206">
        <v>2059</v>
      </c>
    </row>
    <row r="28" spans="1:15" ht="15.75" customHeight="1" thickBot="1">
      <c r="A28" s="210" t="s">
        <v>534</v>
      </c>
      <c r="B28" s="308">
        <f>SUM(C28:G28)</f>
        <v>12905</v>
      </c>
      <c r="C28" s="209">
        <v>935</v>
      </c>
      <c r="D28" s="209">
        <v>1106</v>
      </c>
      <c r="E28" s="209">
        <v>736</v>
      </c>
      <c r="F28" s="209">
        <v>7225</v>
      </c>
      <c r="G28" s="209">
        <v>2903</v>
      </c>
      <c r="H28" s="209"/>
      <c r="I28" s="210" t="s">
        <v>534</v>
      </c>
      <c r="J28" s="209">
        <f>SUM(K28:O28)</f>
        <v>12580</v>
      </c>
      <c r="K28" s="209">
        <v>1008</v>
      </c>
      <c r="L28" s="384">
        <v>1235</v>
      </c>
      <c r="M28" s="209">
        <v>762</v>
      </c>
      <c r="N28" s="209">
        <v>7450</v>
      </c>
      <c r="O28" s="209">
        <v>2125</v>
      </c>
    </row>
    <row r="29" spans="1:15" ht="15.75" customHeight="1">
      <c r="A29" s="391" t="s">
        <v>635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</row>
    <row r="30" spans="1:15" ht="15.75" customHeight="1">
      <c r="A30" s="439" t="s">
        <v>535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</row>
    <row r="31" spans="1:15" ht="15.75" customHeight="1">
      <c r="A31" s="440" t="s">
        <v>203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</row>
  </sheetData>
  <sheetProtection/>
  <mergeCells count="7">
    <mergeCell ref="A30:O30"/>
    <mergeCell ref="A31:O31"/>
    <mergeCell ref="A1:O1"/>
    <mergeCell ref="A2:O2"/>
    <mergeCell ref="C3:G3"/>
    <mergeCell ref="K3:O3"/>
    <mergeCell ref="A29:O29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zoomScale="85" zoomScaleNormal="85" zoomScalePageLayoutView="0" workbookViewId="0" topLeftCell="A1">
      <selection activeCell="J33" sqref="J33"/>
    </sheetView>
  </sheetViews>
  <sheetFormatPr defaultColWidth="11.421875" defaultRowHeight="12.75"/>
  <cols>
    <col min="1" max="2" width="8.7109375" style="25" customWidth="1"/>
    <col min="3" max="3" width="5.140625" style="25" bestFit="1" customWidth="1"/>
    <col min="4" max="7" width="8.7109375" style="25" customWidth="1"/>
    <col min="8" max="8" width="6.57421875" style="25" customWidth="1"/>
    <col min="9" max="10" width="8.7109375" style="25" customWidth="1"/>
    <col min="11" max="11" width="5.140625" style="25" bestFit="1" customWidth="1"/>
    <col min="12" max="15" width="8.7109375" style="25" customWidth="1"/>
    <col min="16" max="16384" width="11.421875" style="25" customWidth="1"/>
  </cols>
  <sheetData>
    <row r="1" spans="1:15" ht="18">
      <c r="A1" s="445" t="s">
        <v>272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75" customHeight="1" thickBot="1">
      <c r="A2" s="390" t="s">
        <v>468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2:15" s="182" customFormat="1" ht="15.75" customHeight="1">
      <c r="B3" s="367" t="s">
        <v>121</v>
      </c>
      <c r="C3" s="449" t="s">
        <v>206</v>
      </c>
      <c r="D3" s="449"/>
      <c r="E3" s="449"/>
      <c r="F3" s="449"/>
      <c r="G3" s="449"/>
      <c r="H3" s="367"/>
      <c r="I3" s="366"/>
      <c r="J3" s="367" t="s">
        <v>121</v>
      </c>
      <c r="K3" s="449" t="s">
        <v>205</v>
      </c>
      <c r="L3" s="449"/>
      <c r="M3" s="449"/>
      <c r="N3" s="449"/>
      <c r="O3" s="449"/>
    </row>
    <row r="4" spans="1:15" ht="15.75" customHeight="1">
      <c r="A4" s="372" t="s">
        <v>4</v>
      </c>
      <c r="B4" s="369"/>
      <c r="C4" s="373" t="s">
        <v>5</v>
      </c>
      <c r="D4" s="373" t="s">
        <v>6</v>
      </c>
      <c r="E4" s="373" t="s">
        <v>7</v>
      </c>
      <c r="F4" s="373" t="s">
        <v>8</v>
      </c>
      <c r="G4" s="373" t="s">
        <v>9</v>
      </c>
      <c r="H4" s="369"/>
      <c r="I4" s="372" t="s">
        <v>4</v>
      </c>
      <c r="J4" s="369"/>
      <c r="K4" s="373" t="s">
        <v>5</v>
      </c>
      <c r="L4" s="373" t="s">
        <v>6</v>
      </c>
      <c r="M4" s="373" t="s">
        <v>7</v>
      </c>
      <c r="N4" s="373" t="s">
        <v>8</v>
      </c>
      <c r="O4" s="373" t="s">
        <v>9</v>
      </c>
    </row>
    <row r="5" spans="1:15" ht="15.75" customHeight="1">
      <c r="A5" s="203" t="s">
        <v>57</v>
      </c>
      <c r="B5" s="306">
        <f aca="true" t="shared" si="0" ref="B5:B15">SUM(C5:G5)</f>
        <v>2225</v>
      </c>
      <c r="C5" s="204">
        <v>245</v>
      </c>
      <c r="D5" s="204">
        <v>213</v>
      </c>
      <c r="E5" s="204">
        <v>266</v>
      </c>
      <c r="F5" s="204">
        <v>1327</v>
      </c>
      <c r="G5" s="204">
        <v>174</v>
      </c>
      <c r="H5" s="204"/>
      <c r="I5" s="203" t="s">
        <v>57</v>
      </c>
      <c r="J5" s="204">
        <f aca="true" t="shared" si="1" ref="J5:J15">SUM(K5:O5)</f>
        <v>1918</v>
      </c>
      <c r="K5" s="204">
        <v>235</v>
      </c>
      <c r="L5" s="204">
        <v>179</v>
      </c>
      <c r="M5" s="204">
        <v>173</v>
      </c>
      <c r="N5" s="204">
        <v>1226</v>
      </c>
      <c r="O5" s="204">
        <v>105</v>
      </c>
    </row>
    <row r="6" spans="1:15" ht="15.75" customHeight="1">
      <c r="A6" s="203" t="s">
        <v>58</v>
      </c>
      <c r="B6" s="306">
        <f t="shared" si="0"/>
        <v>3471</v>
      </c>
      <c r="C6" s="204">
        <v>468</v>
      </c>
      <c r="D6" s="204">
        <v>377</v>
      </c>
      <c r="E6" s="204">
        <v>326</v>
      </c>
      <c r="F6" s="204">
        <v>2049</v>
      </c>
      <c r="G6" s="204">
        <v>251</v>
      </c>
      <c r="H6" s="204"/>
      <c r="I6" s="203" t="s">
        <v>58</v>
      </c>
      <c r="J6" s="204">
        <f t="shared" si="1"/>
        <v>3575</v>
      </c>
      <c r="K6" s="204">
        <v>475</v>
      </c>
      <c r="L6" s="204">
        <v>338</v>
      </c>
      <c r="M6" s="204">
        <v>313</v>
      </c>
      <c r="N6" s="204">
        <v>2285</v>
      </c>
      <c r="O6" s="204">
        <v>164</v>
      </c>
    </row>
    <row r="7" spans="1:15" ht="15.75" customHeight="1">
      <c r="A7" s="203" t="s">
        <v>59</v>
      </c>
      <c r="B7" s="306">
        <f t="shared" si="0"/>
        <v>4170</v>
      </c>
      <c r="C7" s="204">
        <v>491</v>
      </c>
      <c r="D7" s="204">
        <v>574</v>
      </c>
      <c r="E7" s="204">
        <v>380</v>
      </c>
      <c r="F7" s="204">
        <v>2439</v>
      </c>
      <c r="G7" s="204">
        <v>286</v>
      </c>
      <c r="H7" s="204"/>
      <c r="I7" s="203" t="s">
        <v>59</v>
      </c>
      <c r="J7" s="204">
        <f t="shared" si="1"/>
        <v>5132</v>
      </c>
      <c r="K7" s="204">
        <v>519</v>
      </c>
      <c r="L7" s="204">
        <v>596</v>
      </c>
      <c r="M7" s="204">
        <v>317</v>
      </c>
      <c r="N7" s="204">
        <v>3467</v>
      </c>
      <c r="O7" s="204">
        <v>233</v>
      </c>
    </row>
    <row r="8" spans="1:15" ht="15.75" customHeight="1">
      <c r="A8" s="203" t="s">
        <v>60</v>
      </c>
      <c r="B8" s="306">
        <f t="shared" si="0"/>
        <v>4949</v>
      </c>
      <c r="C8" s="204">
        <v>523</v>
      </c>
      <c r="D8" s="204">
        <v>550</v>
      </c>
      <c r="E8" s="204">
        <v>397</v>
      </c>
      <c r="F8" s="204">
        <v>3131</v>
      </c>
      <c r="G8" s="204">
        <v>348</v>
      </c>
      <c r="H8" s="204"/>
      <c r="I8" s="203" t="s">
        <v>60</v>
      </c>
      <c r="J8" s="204">
        <f t="shared" si="1"/>
        <v>5960</v>
      </c>
      <c r="K8" s="204">
        <v>570</v>
      </c>
      <c r="L8" s="204">
        <v>640</v>
      </c>
      <c r="M8" s="204">
        <v>401</v>
      </c>
      <c r="N8" s="204">
        <v>4050</v>
      </c>
      <c r="O8" s="204">
        <v>299</v>
      </c>
    </row>
    <row r="9" spans="1:15" ht="15.75" customHeight="1">
      <c r="A9" s="203" t="s">
        <v>10</v>
      </c>
      <c r="B9" s="306">
        <f t="shared" si="0"/>
        <v>5567</v>
      </c>
      <c r="C9" s="204">
        <v>423</v>
      </c>
      <c r="D9" s="204">
        <v>444</v>
      </c>
      <c r="E9" s="204">
        <v>305</v>
      </c>
      <c r="F9" s="204">
        <v>3978</v>
      </c>
      <c r="G9" s="204">
        <v>417</v>
      </c>
      <c r="H9" s="204"/>
      <c r="I9" s="203" t="s">
        <v>10</v>
      </c>
      <c r="J9" s="204">
        <f t="shared" si="1"/>
        <v>5753</v>
      </c>
      <c r="K9" s="204">
        <v>401</v>
      </c>
      <c r="L9" s="204">
        <v>486</v>
      </c>
      <c r="M9" s="204">
        <v>291</v>
      </c>
      <c r="N9" s="204">
        <v>4168</v>
      </c>
      <c r="O9" s="204">
        <v>407</v>
      </c>
    </row>
    <row r="10" spans="1:15" ht="15.75" customHeight="1">
      <c r="A10" s="203" t="s">
        <v>27</v>
      </c>
      <c r="B10" s="306">
        <f t="shared" si="0"/>
        <v>5640</v>
      </c>
      <c r="C10" s="204">
        <v>431</v>
      </c>
      <c r="D10" s="204">
        <v>429</v>
      </c>
      <c r="E10" s="204">
        <v>311</v>
      </c>
      <c r="F10" s="204">
        <v>4056</v>
      </c>
      <c r="G10" s="204">
        <v>413</v>
      </c>
      <c r="H10" s="204"/>
      <c r="I10" s="203" t="s">
        <v>27</v>
      </c>
      <c r="J10" s="204">
        <f t="shared" si="1"/>
        <v>5855</v>
      </c>
      <c r="K10" s="204">
        <v>433</v>
      </c>
      <c r="L10" s="204">
        <v>479</v>
      </c>
      <c r="M10" s="204">
        <v>277</v>
      </c>
      <c r="N10" s="204">
        <v>4250</v>
      </c>
      <c r="O10" s="204">
        <v>416</v>
      </c>
    </row>
    <row r="11" spans="1:15" ht="15.75" customHeight="1">
      <c r="A11" s="203" t="s">
        <v>29</v>
      </c>
      <c r="B11" s="306">
        <f t="shared" si="0"/>
        <v>5666</v>
      </c>
      <c r="C11" s="204">
        <v>390</v>
      </c>
      <c r="D11" s="204">
        <v>452</v>
      </c>
      <c r="E11" s="204">
        <v>314</v>
      </c>
      <c r="F11" s="204">
        <v>4094</v>
      </c>
      <c r="G11" s="204">
        <v>416</v>
      </c>
      <c r="H11" s="204"/>
      <c r="I11" s="203" t="s">
        <v>29</v>
      </c>
      <c r="J11" s="204">
        <f t="shared" si="1"/>
        <v>5900</v>
      </c>
      <c r="K11" s="204">
        <v>417</v>
      </c>
      <c r="L11" s="204">
        <v>499</v>
      </c>
      <c r="M11" s="204">
        <v>273</v>
      </c>
      <c r="N11" s="204">
        <v>4252</v>
      </c>
      <c r="O11" s="204">
        <v>459</v>
      </c>
    </row>
    <row r="12" spans="1:15" ht="15.75" customHeight="1">
      <c r="A12" s="203" t="s">
        <v>63</v>
      </c>
      <c r="B12" s="306">
        <f t="shared" si="0"/>
        <v>5758</v>
      </c>
      <c r="C12" s="204">
        <v>401</v>
      </c>
      <c r="D12" s="204">
        <v>463</v>
      </c>
      <c r="E12" s="204">
        <v>287</v>
      </c>
      <c r="F12" s="204">
        <v>4185</v>
      </c>
      <c r="G12" s="204">
        <v>422</v>
      </c>
      <c r="H12" s="204"/>
      <c r="I12" s="203" t="s">
        <v>63</v>
      </c>
      <c r="J12" s="204">
        <f t="shared" si="1"/>
        <v>6028</v>
      </c>
      <c r="K12" s="204">
        <v>438</v>
      </c>
      <c r="L12" s="204">
        <v>494</v>
      </c>
      <c r="M12" s="204">
        <v>302</v>
      </c>
      <c r="N12" s="204">
        <v>4322</v>
      </c>
      <c r="O12" s="204">
        <v>472</v>
      </c>
    </row>
    <row r="13" spans="1:15" ht="15.75" customHeight="1">
      <c r="A13" s="203" t="s">
        <v>32</v>
      </c>
      <c r="B13" s="306">
        <f t="shared" si="0"/>
        <v>5786</v>
      </c>
      <c r="C13" s="204">
        <v>368</v>
      </c>
      <c r="D13" s="204">
        <v>470</v>
      </c>
      <c r="E13" s="204">
        <v>291</v>
      </c>
      <c r="F13" s="204">
        <v>4219</v>
      </c>
      <c r="G13" s="204">
        <v>438</v>
      </c>
      <c r="H13" s="204"/>
      <c r="I13" s="203" t="s">
        <v>32</v>
      </c>
      <c r="J13" s="204">
        <f t="shared" si="1"/>
        <v>6066</v>
      </c>
      <c r="K13" s="204">
        <v>414</v>
      </c>
      <c r="L13" s="204">
        <v>478</v>
      </c>
      <c r="M13" s="204">
        <v>305</v>
      </c>
      <c r="N13" s="204">
        <v>4367</v>
      </c>
      <c r="O13" s="204">
        <v>502</v>
      </c>
    </row>
    <row r="14" spans="1:15" ht="15.75" customHeight="1">
      <c r="A14" s="203" t="s">
        <v>2</v>
      </c>
      <c r="B14" s="306">
        <f t="shared" si="0"/>
        <v>5841</v>
      </c>
      <c r="C14" s="204">
        <v>353</v>
      </c>
      <c r="D14" s="204">
        <v>467</v>
      </c>
      <c r="E14" s="204">
        <v>305</v>
      </c>
      <c r="F14" s="204">
        <v>4262</v>
      </c>
      <c r="G14" s="204">
        <v>454</v>
      </c>
      <c r="H14" s="204"/>
      <c r="I14" s="203" t="s">
        <v>2</v>
      </c>
      <c r="J14" s="204">
        <f t="shared" si="1"/>
        <v>6076</v>
      </c>
      <c r="K14" s="204">
        <v>402</v>
      </c>
      <c r="L14" s="204">
        <v>466</v>
      </c>
      <c r="M14" s="204">
        <v>299</v>
      </c>
      <c r="N14" s="204">
        <v>4368</v>
      </c>
      <c r="O14" s="204">
        <v>541</v>
      </c>
    </row>
    <row r="15" spans="1:15" ht="15.75" customHeight="1">
      <c r="A15" s="203" t="s">
        <v>0</v>
      </c>
      <c r="B15" s="306">
        <f t="shared" si="0"/>
        <v>5840</v>
      </c>
      <c r="C15" s="204">
        <v>325</v>
      </c>
      <c r="D15" s="204">
        <v>486</v>
      </c>
      <c r="E15" s="204">
        <v>293</v>
      </c>
      <c r="F15" s="204">
        <v>4272</v>
      </c>
      <c r="G15" s="204">
        <v>464</v>
      </c>
      <c r="H15" s="204"/>
      <c r="I15" s="203" t="s">
        <v>0</v>
      </c>
      <c r="J15" s="204">
        <f t="shared" si="1"/>
        <v>6067</v>
      </c>
      <c r="K15" s="204">
        <v>369</v>
      </c>
      <c r="L15" s="204">
        <v>457</v>
      </c>
      <c r="M15" s="204">
        <v>309</v>
      </c>
      <c r="N15" s="204">
        <v>4353</v>
      </c>
      <c r="O15" s="204">
        <v>579</v>
      </c>
    </row>
    <row r="16" spans="1:15" ht="15.75" customHeight="1">
      <c r="A16" s="203" t="s">
        <v>30</v>
      </c>
      <c r="B16" s="306">
        <v>5829</v>
      </c>
      <c r="C16" s="204">
        <v>323</v>
      </c>
      <c r="D16" s="204">
        <v>461</v>
      </c>
      <c r="E16" s="204">
        <v>290</v>
      </c>
      <c r="F16" s="204">
        <v>4260</v>
      </c>
      <c r="G16" s="204">
        <v>495</v>
      </c>
      <c r="H16" s="204"/>
      <c r="I16" s="203" t="s">
        <v>30</v>
      </c>
      <c r="J16" s="204">
        <v>6033</v>
      </c>
      <c r="K16" s="204">
        <v>342</v>
      </c>
      <c r="L16" s="204">
        <v>447</v>
      </c>
      <c r="M16" s="204">
        <v>307</v>
      </c>
      <c r="N16" s="204">
        <v>4330</v>
      </c>
      <c r="O16" s="204">
        <v>607</v>
      </c>
    </row>
    <row r="17" spans="1:15" ht="15.75" customHeight="1">
      <c r="A17" s="203" t="s">
        <v>204</v>
      </c>
      <c r="B17" s="306">
        <v>5792</v>
      </c>
      <c r="C17" s="204">
        <v>314</v>
      </c>
      <c r="D17" s="204">
        <v>438</v>
      </c>
      <c r="E17" s="204">
        <v>289</v>
      </c>
      <c r="F17" s="204">
        <v>4238</v>
      </c>
      <c r="G17" s="204">
        <v>513</v>
      </c>
      <c r="H17" s="204"/>
      <c r="I17" s="203" t="s">
        <v>204</v>
      </c>
      <c r="J17" s="204">
        <v>5978</v>
      </c>
      <c r="K17" s="204">
        <v>318</v>
      </c>
      <c r="L17" s="204">
        <v>461</v>
      </c>
      <c r="M17" s="204">
        <v>271</v>
      </c>
      <c r="N17" s="204">
        <v>4286</v>
      </c>
      <c r="O17" s="204">
        <v>642</v>
      </c>
    </row>
    <row r="18" spans="1:15" ht="15.75" customHeight="1">
      <c r="A18" s="203" t="s">
        <v>252</v>
      </c>
      <c r="B18" s="306">
        <v>5830</v>
      </c>
      <c r="C18" s="204">
        <v>327</v>
      </c>
      <c r="D18" s="204">
        <v>418</v>
      </c>
      <c r="E18" s="204">
        <v>281</v>
      </c>
      <c r="F18" s="204">
        <v>4262</v>
      </c>
      <c r="G18" s="204">
        <v>542</v>
      </c>
      <c r="H18" s="204"/>
      <c r="I18" s="203" t="s">
        <v>252</v>
      </c>
      <c r="J18" s="204">
        <v>6056</v>
      </c>
      <c r="K18" s="204">
        <v>334</v>
      </c>
      <c r="L18" s="204">
        <v>439</v>
      </c>
      <c r="M18" s="204">
        <v>270</v>
      </c>
      <c r="N18" s="204">
        <v>4324</v>
      </c>
      <c r="O18" s="204">
        <v>689</v>
      </c>
    </row>
    <row r="19" spans="1:15" ht="15.75" customHeight="1">
      <c r="A19" s="203" t="s">
        <v>258</v>
      </c>
      <c r="B19" s="306">
        <v>5922</v>
      </c>
      <c r="C19" s="204">
        <v>318</v>
      </c>
      <c r="D19" s="204">
        <v>412</v>
      </c>
      <c r="E19" s="204">
        <v>282</v>
      </c>
      <c r="F19" s="204">
        <v>4357</v>
      </c>
      <c r="G19" s="204">
        <v>553</v>
      </c>
      <c r="H19" s="204"/>
      <c r="I19" s="203" t="s">
        <v>258</v>
      </c>
      <c r="J19" s="204">
        <v>6082</v>
      </c>
      <c r="K19" s="204">
        <v>320</v>
      </c>
      <c r="L19" s="204">
        <v>429</v>
      </c>
      <c r="M19" s="204">
        <v>276</v>
      </c>
      <c r="N19" s="204">
        <v>4341</v>
      </c>
      <c r="O19" s="204">
        <v>716</v>
      </c>
    </row>
    <row r="20" spans="1:15" ht="15.75" customHeight="1">
      <c r="A20" s="203" t="s">
        <v>263</v>
      </c>
      <c r="B20" s="307">
        <v>5997</v>
      </c>
      <c r="C20" s="206">
        <v>313</v>
      </c>
      <c r="D20" s="206">
        <v>407</v>
      </c>
      <c r="E20" s="206">
        <v>283</v>
      </c>
      <c r="F20" s="206">
        <v>4407</v>
      </c>
      <c r="G20" s="206">
        <v>587</v>
      </c>
      <c r="H20" s="206"/>
      <c r="I20" s="203" t="s">
        <v>263</v>
      </c>
      <c r="J20" s="206">
        <v>6147</v>
      </c>
      <c r="K20" s="206">
        <v>324</v>
      </c>
      <c r="L20" s="206">
        <v>436</v>
      </c>
      <c r="M20" s="206">
        <v>271</v>
      </c>
      <c r="N20" s="206">
        <v>4376</v>
      </c>
      <c r="O20" s="206">
        <v>740</v>
      </c>
    </row>
    <row r="21" spans="1:15" ht="15.75" customHeight="1">
      <c r="A21" s="203" t="s">
        <v>275</v>
      </c>
      <c r="B21" s="307">
        <f aca="true" t="shared" si="2" ref="B21:B27">SUM(C21:G21)</f>
        <v>6107</v>
      </c>
      <c r="C21" s="206">
        <v>302</v>
      </c>
      <c r="D21" s="206">
        <v>399</v>
      </c>
      <c r="E21" s="206">
        <v>286</v>
      </c>
      <c r="F21" s="206">
        <v>4499</v>
      </c>
      <c r="G21" s="206">
        <v>621</v>
      </c>
      <c r="H21" s="206"/>
      <c r="I21" s="203" t="s">
        <v>275</v>
      </c>
      <c r="J21" s="206">
        <f aca="true" t="shared" si="3" ref="J21:J27">SUM(K21:O21)</f>
        <v>6230</v>
      </c>
      <c r="K21" s="206">
        <v>329</v>
      </c>
      <c r="L21" s="206">
        <v>428</v>
      </c>
      <c r="M21" s="206">
        <v>284</v>
      </c>
      <c r="N21" s="206">
        <v>4397</v>
      </c>
      <c r="O21" s="206">
        <v>792</v>
      </c>
    </row>
    <row r="22" spans="1:15" ht="15.75" customHeight="1">
      <c r="A22" s="203" t="s">
        <v>299</v>
      </c>
      <c r="B22" s="307">
        <f t="shared" si="2"/>
        <v>6204</v>
      </c>
      <c r="C22" s="206">
        <v>303</v>
      </c>
      <c r="D22" s="206">
        <v>368</v>
      </c>
      <c r="E22" s="206">
        <v>292</v>
      </c>
      <c r="F22" s="206">
        <v>4570</v>
      </c>
      <c r="G22" s="206">
        <v>671</v>
      </c>
      <c r="H22" s="206"/>
      <c r="I22" s="203" t="s">
        <v>299</v>
      </c>
      <c r="J22" s="206">
        <f t="shared" si="3"/>
        <v>6315</v>
      </c>
      <c r="K22" s="206">
        <v>340</v>
      </c>
      <c r="L22" s="206">
        <v>412</v>
      </c>
      <c r="M22" s="206">
        <v>284</v>
      </c>
      <c r="N22" s="206">
        <v>4409</v>
      </c>
      <c r="O22" s="206">
        <v>870</v>
      </c>
    </row>
    <row r="23" spans="1:15" ht="15.75" customHeight="1">
      <c r="A23" s="203" t="s">
        <v>306</v>
      </c>
      <c r="B23" s="307">
        <f t="shared" si="2"/>
        <v>6231</v>
      </c>
      <c r="C23" s="206">
        <v>302</v>
      </c>
      <c r="D23" s="206">
        <v>364</v>
      </c>
      <c r="E23" s="206">
        <v>293</v>
      </c>
      <c r="F23" s="206">
        <v>4581</v>
      </c>
      <c r="G23" s="206">
        <v>691</v>
      </c>
      <c r="H23" s="206"/>
      <c r="I23" s="203" t="s">
        <v>306</v>
      </c>
      <c r="J23" s="206">
        <f t="shared" si="3"/>
        <v>6348</v>
      </c>
      <c r="K23" s="206">
        <v>340</v>
      </c>
      <c r="L23" s="206">
        <v>398</v>
      </c>
      <c r="M23" s="206">
        <v>271</v>
      </c>
      <c r="N23" s="206">
        <v>4426</v>
      </c>
      <c r="O23" s="206">
        <v>913</v>
      </c>
    </row>
    <row r="24" spans="1:15" ht="15.75" customHeight="1">
      <c r="A24" s="203" t="s">
        <v>314</v>
      </c>
      <c r="B24" s="307">
        <f t="shared" si="2"/>
        <v>6358</v>
      </c>
      <c r="C24" s="206">
        <v>299</v>
      </c>
      <c r="D24" s="206">
        <v>371</v>
      </c>
      <c r="E24" s="206">
        <v>282</v>
      </c>
      <c r="F24" s="206">
        <v>4683</v>
      </c>
      <c r="G24" s="206">
        <v>723</v>
      </c>
      <c r="H24" s="206"/>
      <c r="I24" s="203" t="s">
        <v>314</v>
      </c>
      <c r="J24" s="206">
        <f t="shared" si="3"/>
        <v>6417</v>
      </c>
      <c r="K24" s="206">
        <v>363</v>
      </c>
      <c r="L24" s="206">
        <v>384</v>
      </c>
      <c r="M24" s="206">
        <v>270</v>
      </c>
      <c r="N24" s="206">
        <v>4426</v>
      </c>
      <c r="O24" s="206">
        <v>974</v>
      </c>
    </row>
    <row r="25" spans="1:15" ht="15.75" customHeight="1">
      <c r="A25" s="203" t="s">
        <v>333</v>
      </c>
      <c r="B25" s="307">
        <f t="shared" si="2"/>
        <v>6382</v>
      </c>
      <c r="C25" s="206">
        <v>310</v>
      </c>
      <c r="D25" s="206">
        <v>358</v>
      </c>
      <c r="E25" s="206">
        <v>263</v>
      </c>
      <c r="F25" s="206">
        <v>4684</v>
      </c>
      <c r="G25" s="206">
        <v>767</v>
      </c>
      <c r="H25" s="206"/>
      <c r="I25" s="203" t="s">
        <v>333</v>
      </c>
      <c r="J25" s="206">
        <f t="shared" si="3"/>
        <v>6413</v>
      </c>
      <c r="K25" s="206">
        <v>345</v>
      </c>
      <c r="L25" s="206">
        <v>386</v>
      </c>
      <c r="M25" s="206">
        <v>266</v>
      </c>
      <c r="N25" s="206">
        <v>4397</v>
      </c>
      <c r="O25" s="206">
        <v>1019</v>
      </c>
    </row>
    <row r="26" spans="1:15" ht="15.75" customHeight="1">
      <c r="A26" s="203" t="s">
        <v>337</v>
      </c>
      <c r="B26" s="307">
        <f t="shared" si="2"/>
        <v>6443</v>
      </c>
      <c r="C26" s="206">
        <v>297</v>
      </c>
      <c r="D26" s="206">
        <v>367</v>
      </c>
      <c r="E26" s="206">
        <v>241</v>
      </c>
      <c r="F26" s="206">
        <v>4732</v>
      </c>
      <c r="G26" s="206">
        <v>806</v>
      </c>
      <c r="H26" s="206"/>
      <c r="I26" s="203" t="s">
        <v>337</v>
      </c>
      <c r="J26" s="206">
        <f t="shared" si="3"/>
        <v>6498</v>
      </c>
      <c r="K26" s="206">
        <v>363</v>
      </c>
      <c r="L26" s="206">
        <v>383</v>
      </c>
      <c r="M26" s="206">
        <v>248</v>
      </c>
      <c r="N26" s="206">
        <v>4432</v>
      </c>
      <c r="O26" s="206">
        <v>1072</v>
      </c>
    </row>
    <row r="27" spans="1:15" ht="15.75" customHeight="1">
      <c r="A27" s="203" t="s">
        <v>454</v>
      </c>
      <c r="B27" s="307">
        <f t="shared" si="2"/>
        <v>6514</v>
      </c>
      <c r="C27" s="206">
        <v>291</v>
      </c>
      <c r="D27" s="206">
        <v>358</v>
      </c>
      <c r="E27" s="206">
        <v>226</v>
      </c>
      <c r="F27" s="206">
        <v>4789</v>
      </c>
      <c r="G27" s="206">
        <v>850</v>
      </c>
      <c r="H27" s="206"/>
      <c r="I27" s="203" t="s">
        <v>454</v>
      </c>
      <c r="J27" s="206">
        <f t="shared" si="3"/>
        <v>6543</v>
      </c>
      <c r="K27" s="206">
        <v>366</v>
      </c>
      <c r="L27" s="206">
        <v>378</v>
      </c>
      <c r="M27" s="206">
        <v>251</v>
      </c>
      <c r="N27" s="206">
        <v>4438</v>
      </c>
      <c r="O27" s="206">
        <v>1110</v>
      </c>
    </row>
    <row r="28" spans="1:15" ht="15.75" customHeight="1" thickBot="1">
      <c r="A28" s="210" t="s">
        <v>534</v>
      </c>
      <c r="B28" s="308">
        <f>SUM(C28:G28)</f>
        <v>6627</v>
      </c>
      <c r="C28" s="209">
        <v>287</v>
      </c>
      <c r="D28" s="209">
        <v>363</v>
      </c>
      <c r="E28" s="209">
        <v>223</v>
      </c>
      <c r="F28" s="209">
        <v>4851</v>
      </c>
      <c r="G28" s="209">
        <v>903</v>
      </c>
      <c r="H28" s="209"/>
      <c r="I28" s="210" t="s">
        <v>534</v>
      </c>
      <c r="J28" s="209">
        <f>SUM(K28:O28)</f>
        <v>6635</v>
      </c>
      <c r="K28" s="209">
        <v>367</v>
      </c>
      <c r="L28" s="209">
        <v>377</v>
      </c>
      <c r="M28" s="209">
        <v>255</v>
      </c>
      <c r="N28" s="209">
        <v>4480</v>
      </c>
      <c r="O28" s="209">
        <v>1156</v>
      </c>
    </row>
    <row r="29" spans="1:15" ht="15.75" customHeight="1">
      <c r="A29" s="391" t="s">
        <v>635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</row>
    <row r="30" spans="1:15" ht="15.75" customHeight="1">
      <c r="A30" s="439" t="s">
        <v>202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</row>
    <row r="31" spans="1:15" ht="15.75" customHeight="1">
      <c r="A31" s="440" t="s">
        <v>203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</row>
  </sheetData>
  <sheetProtection/>
  <mergeCells count="7">
    <mergeCell ref="A30:O30"/>
    <mergeCell ref="A31:O31"/>
    <mergeCell ref="A1:O1"/>
    <mergeCell ref="A2:O2"/>
    <mergeCell ref="K3:O3"/>
    <mergeCell ref="C3:G3"/>
    <mergeCell ref="A29:O29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="85" zoomScaleNormal="85" zoomScalePageLayoutView="0" workbookViewId="0" topLeftCell="A1">
      <selection activeCell="I48" sqref="I48"/>
    </sheetView>
  </sheetViews>
  <sheetFormatPr defaultColWidth="11.421875" defaultRowHeight="12.75"/>
  <cols>
    <col min="1" max="1" width="6.421875" style="42" bestFit="1" customWidth="1"/>
    <col min="2" max="2" width="17.57421875" style="42" bestFit="1" customWidth="1"/>
    <col min="3" max="3" width="15.7109375" style="42" bestFit="1" customWidth="1"/>
    <col min="4" max="4" width="18.140625" style="42" bestFit="1" customWidth="1"/>
    <col min="5" max="5" width="6.7109375" style="42" customWidth="1"/>
    <col min="6" max="6" width="16.7109375" style="42" bestFit="1" customWidth="1"/>
    <col min="7" max="7" width="17.57421875" style="42" bestFit="1" customWidth="1"/>
    <col min="8" max="8" width="11.7109375" style="42" bestFit="1" customWidth="1"/>
    <col min="9" max="9" width="36.28125" style="42" bestFit="1" customWidth="1"/>
    <col min="10" max="16384" width="11.421875" style="42" customWidth="1"/>
  </cols>
  <sheetData>
    <row r="1" spans="1:9" s="48" customFormat="1" ht="18" customHeight="1">
      <c r="A1" s="445" t="s">
        <v>302</v>
      </c>
      <c r="B1" s="445"/>
      <c r="C1" s="445"/>
      <c r="D1" s="445"/>
      <c r="E1" s="445"/>
      <c r="F1" s="445"/>
      <c r="G1" s="445"/>
      <c r="H1" s="445"/>
      <c r="I1" s="445"/>
    </row>
    <row r="2" spans="1:9" ht="15.75" customHeight="1" thickBot="1">
      <c r="A2" s="390" t="s">
        <v>469</v>
      </c>
      <c r="B2" s="390"/>
      <c r="C2" s="390"/>
      <c r="D2" s="390"/>
      <c r="E2" s="390"/>
      <c r="F2" s="390"/>
      <c r="G2" s="390"/>
      <c r="H2" s="390"/>
      <c r="I2" s="390"/>
    </row>
    <row r="3" spans="2:9" ht="15.75" customHeight="1">
      <c r="B3" s="451" t="s">
        <v>18</v>
      </c>
      <c r="C3" s="451"/>
      <c r="D3" s="451"/>
      <c r="E3" s="364"/>
      <c r="F3" s="451" t="s">
        <v>55</v>
      </c>
      <c r="G3" s="451"/>
      <c r="H3" s="451"/>
      <c r="I3" s="368" t="s">
        <v>218</v>
      </c>
    </row>
    <row r="4" spans="1:9" s="192" customFormat="1" ht="15.75" customHeight="1">
      <c r="A4" s="369" t="s">
        <v>4</v>
      </c>
      <c r="B4" s="370" t="s">
        <v>214</v>
      </c>
      <c r="C4" s="370" t="s">
        <v>338</v>
      </c>
      <c r="D4" s="370" t="s">
        <v>339</v>
      </c>
      <c r="E4" s="370"/>
      <c r="F4" s="370" t="s">
        <v>215</v>
      </c>
      <c r="G4" s="370" t="s">
        <v>216</v>
      </c>
      <c r="H4" s="370" t="s">
        <v>217</v>
      </c>
      <c r="I4" s="371"/>
    </row>
    <row r="5" spans="1:9" ht="15.75" customHeight="1">
      <c r="A5" s="187">
        <v>1960</v>
      </c>
      <c r="B5" s="211">
        <v>0.699</v>
      </c>
      <c r="C5" s="211">
        <v>0.147</v>
      </c>
      <c r="D5" s="211">
        <v>0.846</v>
      </c>
      <c r="E5" s="211"/>
      <c r="F5" s="211">
        <v>0.379</v>
      </c>
      <c r="G5" s="211">
        <v>0.542</v>
      </c>
      <c r="H5" s="211">
        <v>0.08</v>
      </c>
      <c r="I5" s="211">
        <v>0.14800000000000002</v>
      </c>
    </row>
    <row r="6" spans="1:9" ht="15.75" customHeight="1">
      <c r="A6" s="187">
        <v>1970</v>
      </c>
      <c r="B6" s="211">
        <v>0.652</v>
      </c>
      <c r="C6" s="211">
        <v>0.141</v>
      </c>
      <c r="D6" s="211">
        <v>0.793</v>
      </c>
      <c r="E6" s="211"/>
      <c r="F6" s="211">
        <v>0.364</v>
      </c>
      <c r="G6" s="211">
        <v>0.5579999999999999</v>
      </c>
      <c r="H6" s="211">
        <v>0.079</v>
      </c>
      <c r="I6" s="211">
        <v>0.14800000000000002</v>
      </c>
    </row>
    <row r="7" spans="1:9" ht="15.75" customHeight="1">
      <c r="A7" s="187">
        <v>1980</v>
      </c>
      <c r="B7" s="211">
        <v>0.519</v>
      </c>
      <c r="C7" s="212">
        <v>0.15</v>
      </c>
      <c r="D7" s="211">
        <v>0.669</v>
      </c>
      <c r="E7" s="211"/>
      <c r="F7" s="211">
        <v>0.311</v>
      </c>
      <c r="G7" s="211">
        <v>0.599</v>
      </c>
      <c r="H7" s="211">
        <v>0.09</v>
      </c>
      <c r="I7" s="211">
        <v>0.154</v>
      </c>
    </row>
    <row r="8" spans="1:9" ht="15.75" customHeight="1">
      <c r="A8" s="187">
        <v>1990</v>
      </c>
      <c r="B8" s="211">
        <v>0.409</v>
      </c>
      <c r="C8" s="211">
        <v>0.156</v>
      </c>
      <c r="D8" s="211">
        <v>0.565</v>
      </c>
      <c r="E8" s="211"/>
      <c r="F8" s="211">
        <v>0.261</v>
      </c>
      <c r="G8" s="211">
        <v>0.639</v>
      </c>
      <c r="H8" s="211">
        <v>0.1</v>
      </c>
      <c r="I8" s="211">
        <v>0.20800000000000002</v>
      </c>
    </row>
    <row r="9" spans="1:9" ht="15.75" customHeight="1">
      <c r="A9" s="187">
        <v>2000</v>
      </c>
      <c r="B9" s="211">
        <v>0.382</v>
      </c>
      <c r="C9" s="211">
        <v>0.162</v>
      </c>
      <c r="D9" s="211">
        <v>0.543</v>
      </c>
      <c r="E9" s="211"/>
      <c r="F9" s="211">
        <v>0.247</v>
      </c>
      <c r="G9" s="211">
        <v>0.648</v>
      </c>
      <c r="H9" s="211">
        <v>0.105</v>
      </c>
      <c r="I9" s="211">
        <v>0.233</v>
      </c>
    </row>
    <row r="10" spans="1:9" ht="15.75" customHeight="1">
      <c r="A10" s="187">
        <v>2001</v>
      </c>
      <c r="B10" s="211">
        <v>0.377</v>
      </c>
      <c r="C10" s="211">
        <v>0.161</v>
      </c>
      <c r="D10" s="211">
        <v>0.539</v>
      </c>
      <c r="E10" s="211"/>
      <c r="F10" s="211">
        <v>0.245</v>
      </c>
      <c r="G10" s="211">
        <v>0.65</v>
      </c>
      <c r="H10" s="211">
        <v>0.105</v>
      </c>
      <c r="I10" s="211">
        <v>0.24</v>
      </c>
    </row>
    <row r="11" spans="1:9" ht="15.75" customHeight="1">
      <c r="A11" s="187">
        <v>2002</v>
      </c>
      <c r="B11" s="211">
        <v>0.374</v>
      </c>
      <c r="C11" s="211">
        <v>0.166</v>
      </c>
      <c r="D11" s="211">
        <v>0.539</v>
      </c>
      <c r="E11" s="211"/>
      <c r="F11" s="211">
        <v>0.243</v>
      </c>
      <c r="G11" s="211">
        <v>0.65</v>
      </c>
      <c r="H11" s="211">
        <v>0.10800000000000001</v>
      </c>
      <c r="I11" s="211">
        <v>0.247</v>
      </c>
    </row>
    <row r="12" spans="1:9" ht="15.75" customHeight="1">
      <c r="A12" s="187">
        <v>2003</v>
      </c>
      <c r="B12" s="211">
        <v>0.37</v>
      </c>
      <c r="C12" s="211">
        <v>0.166</v>
      </c>
      <c r="D12" s="211">
        <v>0.536</v>
      </c>
      <c r="E12" s="211"/>
      <c r="F12" s="211">
        <v>0.24100000000000002</v>
      </c>
      <c r="G12" s="211">
        <v>0.6509999999999999</v>
      </c>
      <c r="H12" s="211">
        <v>0.10800000000000001</v>
      </c>
      <c r="I12" s="211">
        <v>0.252</v>
      </c>
    </row>
    <row r="13" spans="1:9" ht="15.75" customHeight="1">
      <c r="A13" s="187">
        <v>2004</v>
      </c>
      <c r="B13" s="211">
        <v>0.363</v>
      </c>
      <c r="C13" s="211">
        <v>0.171</v>
      </c>
      <c r="D13" s="211">
        <v>0.534</v>
      </c>
      <c r="E13" s="211"/>
      <c r="F13" s="211">
        <v>0.237</v>
      </c>
      <c r="G13" s="211">
        <v>0.652</v>
      </c>
      <c r="H13" s="211">
        <v>0.111</v>
      </c>
      <c r="I13" s="211">
        <v>0.256</v>
      </c>
    </row>
    <row r="14" spans="1:9" ht="15.75" customHeight="1">
      <c r="A14" s="187">
        <v>2005</v>
      </c>
      <c r="B14" s="211">
        <v>0.36</v>
      </c>
      <c r="C14" s="211">
        <v>0.178</v>
      </c>
      <c r="D14" s="211">
        <v>0.538</v>
      </c>
      <c r="E14" s="211"/>
      <c r="F14" s="211">
        <v>0.23399999999999999</v>
      </c>
      <c r="G14" s="211">
        <v>0.65</v>
      </c>
      <c r="H14" s="211">
        <v>0.11599999999999999</v>
      </c>
      <c r="I14" s="211">
        <v>0.25</v>
      </c>
    </row>
    <row r="15" spans="1:9" ht="15.75" customHeight="1">
      <c r="A15" s="187">
        <v>2006</v>
      </c>
      <c r="B15" s="211">
        <v>0.358</v>
      </c>
      <c r="C15" s="211">
        <v>0.184</v>
      </c>
      <c r="D15" s="211">
        <v>0.543</v>
      </c>
      <c r="E15" s="211"/>
      <c r="F15" s="211">
        <v>0.23199999999999998</v>
      </c>
      <c r="G15" s="211">
        <v>0.648</v>
      </c>
      <c r="H15" s="211">
        <v>0.11900000000000001</v>
      </c>
      <c r="I15" s="211">
        <v>0.251</v>
      </c>
    </row>
    <row r="16" spans="1:9" ht="15.75" customHeight="1">
      <c r="A16" s="187">
        <v>2007</v>
      </c>
      <c r="B16" s="211">
        <v>0.353</v>
      </c>
      <c r="C16" s="211">
        <v>0.192</v>
      </c>
      <c r="D16" s="211">
        <v>0.545</v>
      </c>
      <c r="E16" s="211"/>
      <c r="F16" s="211">
        <v>0.229</v>
      </c>
      <c r="G16" s="211">
        <v>0.647</v>
      </c>
      <c r="H16" s="211">
        <v>0.124</v>
      </c>
      <c r="I16" s="211">
        <v>0.2484</v>
      </c>
    </row>
    <row r="17" spans="1:9" ht="15.75" customHeight="1">
      <c r="A17" s="187">
        <v>2008</v>
      </c>
      <c r="B17" s="211">
        <v>0.34757661377961313</v>
      </c>
      <c r="C17" s="211">
        <v>0.2</v>
      </c>
      <c r="D17" s="211">
        <v>0.548</v>
      </c>
      <c r="E17" s="211"/>
      <c r="F17" s="211">
        <v>0.22467616398325324</v>
      </c>
      <c r="G17" s="211">
        <v>0.6464075978532693</v>
      </c>
      <c r="H17" s="211">
        <v>0.12891623816347747</v>
      </c>
      <c r="I17" s="211">
        <v>0.243</v>
      </c>
    </row>
    <row r="18" spans="1:9" ht="15.75" customHeight="1">
      <c r="A18" s="187">
        <v>2009</v>
      </c>
      <c r="B18" s="211">
        <v>0.34744107305638755</v>
      </c>
      <c r="C18" s="211">
        <v>0.21066111038763727</v>
      </c>
      <c r="D18" s="211">
        <v>0.5581021834440248</v>
      </c>
      <c r="E18" s="211"/>
      <c r="F18" s="211">
        <v>0.2229899147489831</v>
      </c>
      <c r="G18" s="211">
        <v>0.6418064300440185</v>
      </c>
      <c r="H18" s="211">
        <v>0.1352036552069984</v>
      </c>
      <c r="I18" s="211">
        <v>0.2386152895116423</v>
      </c>
    </row>
    <row r="19" spans="1:9" ht="15.75" customHeight="1">
      <c r="A19" s="187">
        <v>2010</v>
      </c>
      <c r="B19" s="211">
        <v>0.34185455015734795</v>
      </c>
      <c r="C19" s="211">
        <v>0.21649351209208087</v>
      </c>
      <c r="D19" s="211">
        <v>0.5583480622494288</v>
      </c>
      <c r="E19" s="211"/>
      <c r="F19" s="211">
        <v>0.21936983042407812</v>
      </c>
      <c r="G19" s="211">
        <v>0.6417051647348474</v>
      </c>
      <c r="H19" s="211">
        <v>0.13892500484107445</v>
      </c>
      <c r="I19" s="211">
        <v>0.23118279569892472</v>
      </c>
    </row>
    <row r="20" spans="1:9" ht="15.75" customHeight="1">
      <c r="A20" s="187">
        <v>2011</v>
      </c>
      <c r="B20" s="211">
        <v>0.33848922404558895</v>
      </c>
      <c r="C20" s="211">
        <v>0.22434551608894981</v>
      </c>
      <c r="D20" s="211">
        <v>0.5628347401345387</v>
      </c>
      <c r="E20" s="211"/>
      <c r="F20" s="211">
        <v>0.2165867032213845</v>
      </c>
      <c r="G20" s="211">
        <v>0.6398629198080877</v>
      </c>
      <c r="H20" s="211">
        <v>0.14355037697052775</v>
      </c>
      <c r="I20" s="211">
        <v>0.219</v>
      </c>
    </row>
    <row r="21" spans="1:9" ht="15.75" customHeight="1">
      <c r="A21" s="187">
        <v>2012</v>
      </c>
      <c r="B21" s="211">
        <v>0.336</v>
      </c>
      <c r="C21" s="211">
        <v>0.234</v>
      </c>
      <c r="D21" s="211">
        <v>0.57</v>
      </c>
      <c r="E21" s="211"/>
      <c r="F21" s="211">
        <v>0.214</v>
      </c>
      <c r="G21" s="211">
        <v>0.637</v>
      </c>
      <c r="H21" s="211">
        <v>0.149</v>
      </c>
      <c r="I21" s="211">
        <v>0.215</v>
      </c>
    </row>
    <row r="22" spans="1:9" ht="15.75" customHeight="1">
      <c r="A22" s="187">
        <v>2013</v>
      </c>
      <c r="B22" s="211">
        <v>0.331</v>
      </c>
      <c r="C22" s="211">
        <v>0.245</v>
      </c>
      <c r="D22" s="211">
        <v>0.576</v>
      </c>
      <c r="E22" s="211"/>
      <c r="F22" s="211">
        <v>0.21</v>
      </c>
      <c r="G22" s="211">
        <v>0.634</v>
      </c>
      <c r="H22" s="211">
        <v>0.155</v>
      </c>
      <c r="I22" s="211">
        <v>0.214</v>
      </c>
    </row>
    <row r="23" spans="1:9" ht="15.75" customHeight="1">
      <c r="A23" s="187">
        <v>2014</v>
      </c>
      <c r="B23" s="211">
        <v>0.331</v>
      </c>
      <c r="C23" s="211">
        <v>0.253</v>
      </c>
      <c r="D23" s="211">
        <v>0.584</v>
      </c>
      <c r="E23" s="211"/>
      <c r="F23" s="211">
        <v>0.209</v>
      </c>
      <c r="G23" s="211">
        <v>0.631</v>
      </c>
      <c r="H23" s="211">
        <v>0.16</v>
      </c>
      <c r="I23" s="211">
        <v>0.212</v>
      </c>
    </row>
    <row r="24" spans="1:9" ht="15.75" customHeight="1">
      <c r="A24" s="187">
        <v>2015</v>
      </c>
      <c r="B24" s="211">
        <v>0.326</v>
      </c>
      <c r="C24" s="211">
        <v>0.262</v>
      </c>
      <c r="D24" s="211">
        <v>0.588</v>
      </c>
      <c r="E24" s="211"/>
      <c r="F24" s="211">
        <v>0.206</v>
      </c>
      <c r="G24" s="211">
        <v>0.6297</v>
      </c>
      <c r="H24" s="211">
        <v>0.1647</v>
      </c>
      <c r="I24" s="211">
        <v>0.2074</v>
      </c>
    </row>
    <row r="25" spans="1:9" ht="15.75" customHeight="1">
      <c r="A25" s="187">
        <v>2016</v>
      </c>
      <c r="B25" s="211">
        <v>0.32548126</v>
      </c>
      <c r="C25" s="211">
        <v>0.27068558</v>
      </c>
      <c r="D25" s="211">
        <v>0.59616684</v>
      </c>
      <c r="E25" s="211"/>
      <c r="F25" s="211">
        <v>0.204</v>
      </c>
      <c r="G25" s="211">
        <v>0.627</v>
      </c>
      <c r="H25" s="211">
        <v>0.17</v>
      </c>
      <c r="I25" s="211">
        <v>0.20695571</v>
      </c>
    </row>
    <row r="26" spans="1:9" ht="15.75" customHeight="1">
      <c r="A26" s="187">
        <v>2017</v>
      </c>
      <c r="B26" s="211">
        <v>0.320720645</v>
      </c>
      <c r="C26" s="211">
        <v>0.27990089</v>
      </c>
      <c r="D26" s="211">
        <v>0.600621535</v>
      </c>
      <c r="E26" s="211"/>
      <c r="F26" s="211">
        <v>0.200372567</v>
      </c>
      <c r="G26" s="211">
        <v>0.624757307</v>
      </c>
      <c r="H26" s="211">
        <v>0.174870126</v>
      </c>
      <c r="I26" s="211">
        <v>0.21170293</v>
      </c>
    </row>
    <row r="27" spans="1:9" ht="15.75" customHeight="1">
      <c r="A27" s="187">
        <v>2018</v>
      </c>
      <c r="B27" s="211">
        <v>0.319</v>
      </c>
      <c r="C27" s="211">
        <v>0.287</v>
      </c>
      <c r="D27" s="211">
        <v>0.607</v>
      </c>
      <c r="E27" s="211"/>
      <c r="F27" s="211">
        <v>0.199</v>
      </c>
      <c r="G27" s="211">
        <v>0.622</v>
      </c>
      <c r="H27" s="211">
        <v>0.179</v>
      </c>
      <c r="I27" s="211">
        <v>0.212</v>
      </c>
    </row>
    <row r="28" spans="1:9" ht="15.75" customHeight="1" thickBot="1">
      <c r="A28" s="174">
        <v>2019</v>
      </c>
      <c r="B28" s="215">
        <v>0.319</v>
      </c>
      <c r="C28" s="215">
        <v>0.295</v>
      </c>
      <c r="D28" s="215">
        <v>0.614</v>
      </c>
      <c r="E28" s="215"/>
      <c r="F28" s="215">
        <v>0.198</v>
      </c>
      <c r="G28" s="215">
        <v>0.62</v>
      </c>
      <c r="H28" s="215">
        <v>0.183</v>
      </c>
      <c r="I28" s="215">
        <v>0.216</v>
      </c>
    </row>
    <row r="29" spans="1:15" ht="15">
      <c r="A29" s="391" t="s">
        <v>635</v>
      </c>
      <c r="B29" s="391"/>
      <c r="C29" s="391"/>
      <c r="D29" s="391"/>
      <c r="E29" s="391"/>
      <c r="F29" s="391"/>
      <c r="G29" s="391"/>
      <c r="H29" s="391"/>
      <c r="I29" s="391"/>
      <c r="J29" s="181"/>
      <c r="K29" s="181"/>
      <c r="L29" s="181"/>
      <c r="M29" s="181"/>
      <c r="N29" s="181"/>
      <c r="O29" s="181"/>
    </row>
  </sheetData>
  <sheetProtection/>
  <mergeCells count="5">
    <mergeCell ref="A1:I1"/>
    <mergeCell ref="A2:I2"/>
    <mergeCell ref="B3:D3"/>
    <mergeCell ref="F3:H3"/>
    <mergeCell ref="A29:I29"/>
  </mergeCells>
  <printOptions/>
  <pageMargins left="0.5905511811023623" right="0.5905511811023623" top="0.984251968503937" bottom="0.7874015748031497" header="0.4724409448818898" footer="0.4724409448818898"/>
  <pageSetup horizontalDpi="1200" verticalDpi="1200" orientation="landscape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9"/>
  <sheetViews>
    <sheetView zoomScale="85" zoomScaleNormal="85" zoomScalePageLayoutView="0" workbookViewId="0" topLeftCell="A1">
      <selection activeCell="P27" sqref="P27"/>
    </sheetView>
  </sheetViews>
  <sheetFormatPr defaultColWidth="11.421875" defaultRowHeight="12.75"/>
  <cols>
    <col min="1" max="1" width="10.57421875" style="25" customWidth="1"/>
    <col min="2" max="2" width="1.8515625" style="25" customWidth="1"/>
    <col min="3" max="4" width="10.7109375" style="25" customWidth="1"/>
    <col min="5" max="5" width="10.57421875" style="25" customWidth="1"/>
    <col min="6" max="6" width="3.421875" style="25" customWidth="1"/>
    <col min="7" max="7" width="7.00390625" style="25" bestFit="1" customWidth="1"/>
    <col min="8" max="8" width="9.57421875" style="25" customWidth="1"/>
    <col min="9" max="9" width="8.8515625" style="25" customWidth="1"/>
    <col min="10" max="10" width="3.57421875" style="25" customWidth="1"/>
    <col min="11" max="11" width="7.00390625" style="25" bestFit="1" customWidth="1"/>
    <col min="12" max="12" width="9.140625" style="25" customWidth="1"/>
    <col min="13" max="13" width="10.7109375" style="25" customWidth="1"/>
    <col min="14" max="16384" width="11.421875" style="25" customWidth="1"/>
  </cols>
  <sheetData>
    <row r="1" spans="1:13" s="182" customFormat="1" ht="18">
      <c r="A1" s="445" t="s">
        <v>303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15.75" thickBot="1">
      <c r="A2" s="390" t="s">
        <v>470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>
      <c r="A3" s="453"/>
      <c r="B3" s="453"/>
      <c r="C3" s="446" t="s">
        <v>121</v>
      </c>
      <c r="D3" s="446"/>
      <c r="E3" s="446"/>
      <c r="F3" s="194"/>
      <c r="G3" s="446" t="s">
        <v>74</v>
      </c>
      <c r="H3" s="446"/>
      <c r="I3" s="446"/>
      <c r="J3" s="194"/>
      <c r="K3" s="446" t="s">
        <v>76</v>
      </c>
      <c r="L3" s="446"/>
      <c r="M3" s="446"/>
    </row>
    <row r="4" spans="1:13" ht="15">
      <c r="A4" s="454" t="s">
        <v>4</v>
      </c>
      <c r="B4" s="454"/>
      <c r="C4" s="214" t="s">
        <v>134</v>
      </c>
      <c r="D4" s="214" t="s">
        <v>22</v>
      </c>
      <c r="E4" s="214" t="s">
        <v>21</v>
      </c>
      <c r="F4" s="214"/>
      <c r="G4" s="214" t="s">
        <v>134</v>
      </c>
      <c r="H4" s="214" t="s">
        <v>22</v>
      </c>
      <c r="I4" s="214" t="s">
        <v>21</v>
      </c>
      <c r="J4" s="214"/>
      <c r="K4" s="214" t="s">
        <v>134</v>
      </c>
      <c r="L4" s="214" t="s">
        <v>22</v>
      </c>
      <c r="M4" s="214" t="s">
        <v>21</v>
      </c>
    </row>
    <row r="5" spans="1:13" ht="15">
      <c r="A5" s="452">
        <v>2000</v>
      </c>
      <c r="B5" s="452"/>
      <c r="C5" s="309">
        <v>36.99045382503177</v>
      </c>
      <c r="D5" s="217">
        <v>37.85462516768319</v>
      </c>
      <c r="E5" s="217">
        <v>36.08387676803526</v>
      </c>
      <c r="F5" s="217"/>
      <c r="G5" s="309">
        <v>37.06544982714958</v>
      </c>
      <c r="H5" s="217">
        <v>38.776995876322005</v>
      </c>
      <c r="I5" s="217">
        <v>35.19198503166264</v>
      </c>
      <c r="J5" s="217"/>
      <c r="K5" s="309">
        <v>36.84772954290952</v>
      </c>
      <c r="L5" s="217">
        <v>35.989338758871305</v>
      </c>
      <c r="M5" s="217">
        <v>37.678367730766425</v>
      </c>
    </row>
    <row r="6" spans="1:13" ht="15">
      <c r="A6" s="452">
        <v>2005</v>
      </c>
      <c r="B6" s="452"/>
      <c r="C6" s="309">
        <v>38.517</v>
      </c>
      <c r="D6" s="217">
        <v>39.365</v>
      </c>
      <c r="E6" s="217">
        <v>37.643</v>
      </c>
      <c r="F6" s="217"/>
      <c r="G6" s="309">
        <v>38.358</v>
      </c>
      <c r="H6" s="217">
        <v>40.051</v>
      </c>
      <c r="I6" s="217">
        <v>36.554</v>
      </c>
      <c r="J6" s="217"/>
      <c r="K6" s="309">
        <v>38.823</v>
      </c>
      <c r="L6" s="217">
        <v>37.974</v>
      </c>
      <c r="M6" s="217">
        <v>39.638</v>
      </c>
    </row>
    <row r="7" spans="1:13" ht="15">
      <c r="A7" s="452">
        <v>2006</v>
      </c>
      <c r="B7" s="452"/>
      <c r="C7" s="309">
        <v>38.84</v>
      </c>
      <c r="D7" s="217">
        <v>39.637</v>
      </c>
      <c r="E7" s="217">
        <v>38.021</v>
      </c>
      <c r="F7" s="217"/>
      <c r="G7" s="309">
        <v>38.605</v>
      </c>
      <c r="H7" s="217">
        <v>40.26</v>
      </c>
      <c r="I7" s="217">
        <v>36.846</v>
      </c>
      <c r="J7" s="217"/>
      <c r="K7" s="309">
        <v>39.299</v>
      </c>
      <c r="L7" s="217">
        <v>38.358</v>
      </c>
      <c r="M7" s="217">
        <v>40.205</v>
      </c>
    </row>
    <row r="8" spans="1:13" ht="15">
      <c r="A8" s="452">
        <v>2007</v>
      </c>
      <c r="B8" s="452"/>
      <c r="C8" s="309">
        <v>39.19110153580915</v>
      </c>
      <c r="D8" s="217">
        <v>39.99110641858449</v>
      </c>
      <c r="E8" s="217">
        <v>38.370005281754786</v>
      </c>
      <c r="F8" s="217"/>
      <c r="G8" s="309">
        <v>38.88909169696698</v>
      </c>
      <c r="H8" s="217">
        <v>40.528841299682405</v>
      </c>
      <c r="I8" s="217">
        <v>37.153959375355086</v>
      </c>
      <c r="J8" s="217"/>
      <c r="K8" s="309">
        <v>39.78926534914233</v>
      </c>
      <c r="L8" s="217">
        <v>38.876798710781806</v>
      </c>
      <c r="M8" s="217">
        <v>40.6708778197214</v>
      </c>
    </row>
    <row r="9" spans="1:13" ht="15">
      <c r="A9" s="452">
        <v>2008</v>
      </c>
      <c r="B9" s="452"/>
      <c r="C9" s="309">
        <v>39.569451519572</v>
      </c>
      <c r="D9" s="217">
        <v>40.39461103709219</v>
      </c>
      <c r="E9" s="217">
        <v>38.72520042547114</v>
      </c>
      <c r="F9" s="217"/>
      <c r="G9" s="309">
        <v>39.190801354695324</v>
      </c>
      <c r="H9" s="217">
        <v>40.859960816389155</v>
      </c>
      <c r="I9" s="217">
        <v>37.43640882998726</v>
      </c>
      <c r="J9" s="217"/>
      <c r="K9" s="309">
        <v>40.335727498943065</v>
      </c>
      <c r="L9" s="217">
        <v>39.413937797088956</v>
      </c>
      <c r="M9" s="217">
        <v>41.22883655768161</v>
      </c>
    </row>
    <row r="10" spans="1:13" ht="15">
      <c r="A10" s="452">
        <v>2009</v>
      </c>
      <c r="B10" s="452"/>
      <c r="C10" s="309">
        <v>39.85051543698502</v>
      </c>
      <c r="D10" s="217">
        <v>40.70146259765394</v>
      </c>
      <c r="E10" s="217">
        <v>38.98251964166034</v>
      </c>
      <c r="F10" s="217"/>
      <c r="G10" s="309">
        <v>39.42899936845144</v>
      </c>
      <c r="H10" s="217">
        <v>41.10468237618504</v>
      </c>
      <c r="I10" s="217">
        <v>37.67005438594615</v>
      </c>
      <c r="J10" s="217"/>
      <c r="K10" s="309">
        <v>40.701916898650346</v>
      </c>
      <c r="L10" s="217">
        <v>39.85110459130063</v>
      </c>
      <c r="M10" s="217">
        <v>41.520978284358534</v>
      </c>
    </row>
    <row r="11" spans="1:13" ht="15">
      <c r="A11" s="452">
        <v>2010</v>
      </c>
      <c r="B11" s="452"/>
      <c r="C11" s="309">
        <v>40.17832051080545</v>
      </c>
      <c r="D11" s="217">
        <v>41.025824852880625</v>
      </c>
      <c r="E11" s="217">
        <v>39.31295252470912</v>
      </c>
      <c r="F11" s="217"/>
      <c r="G11" s="309">
        <v>39.74115704386387</v>
      </c>
      <c r="H11" s="217">
        <v>41.40448284519957</v>
      </c>
      <c r="I11" s="217">
        <v>38.002161473355244</v>
      </c>
      <c r="J11" s="217"/>
      <c r="K11" s="309">
        <v>41.05763673117403</v>
      </c>
      <c r="L11" s="217">
        <v>40.23673024240983</v>
      </c>
      <c r="M11" s="217">
        <v>41.85694752145051</v>
      </c>
    </row>
    <row r="12" spans="1:13" ht="15">
      <c r="A12" s="216">
        <v>2011</v>
      </c>
      <c r="B12" s="216"/>
      <c r="C12" s="309">
        <v>40.45405628356928</v>
      </c>
      <c r="D12" s="217">
        <v>41.298175277332156</v>
      </c>
      <c r="E12" s="217">
        <v>39.591643834171705</v>
      </c>
      <c r="F12" s="217"/>
      <c r="G12" s="309">
        <v>39.99495268188497</v>
      </c>
      <c r="H12" s="217">
        <v>41.611877728411635</v>
      </c>
      <c r="I12" s="217">
        <v>38.30448779087147</v>
      </c>
      <c r="J12" s="217"/>
      <c r="K12" s="309">
        <v>41.37388910081081</v>
      </c>
      <c r="L12" s="217">
        <v>40.64764940078983</v>
      </c>
      <c r="M12" s="217">
        <v>42.082406992632144</v>
      </c>
    </row>
    <row r="13" spans="1:13" ht="15">
      <c r="A13" s="452">
        <v>2012</v>
      </c>
      <c r="B13" s="452"/>
      <c r="C13" s="309">
        <v>40.80697665145717</v>
      </c>
      <c r="D13" s="217">
        <v>41.6930451911424</v>
      </c>
      <c r="E13" s="217">
        <v>39.90420358074482</v>
      </c>
      <c r="F13" s="217"/>
      <c r="G13" s="309">
        <v>40.329259717318386</v>
      </c>
      <c r="H13" s="217">
        <v>41.96484392561836</v>
      </c>
      <c r="I13" s="217">
        <v>38.630114068952174</v>
      </c>
      <c r="J13" s="217"/>
      <c r="K13" s="309">
        <v>41.75571156297004</v>
      </c>
      <c r="L13" s="217">
        <v>41.137431075996204</v>
      </c>
      <c r="M13" s="217">
        <v>42.36178522813043</v>
      </c>
    </row>
    <row r="14" spans="1:13" ht="15">
      <c r="A14" s="452">
        <v>2013</v>
      </c>
      <c r="B14" s="452"/>
      <c r="C14" s="309">
        <v>41.16236192925164</v>
      </c>
      <c r="D14" s="217">
        <v>42.04529601558948</v>
      </c>
      <c r="E14" s="217">
        <v>40.26364059756569</v>
      </c>
      <c r="F14" s="217"/>
      <c r="G14" s="309">
        <v>40.61457763701004</v>
      </c>
      <c r="H14" s="217">
        <v>42.27864533766144</v>
      </c>
      <c r="I14" s="217">
        <v>38.889923276177726</v>
      </c>
      <c r="J14" s="217"/>
      <c r="K14" s="309">
        <v>42.239202845624</v>
      </c>
      <c r="L14" s="217">
        <v>41.57419668306994</v>
      </c>
      <c r="M14" s="217">
        <v>42.892520063753125</v>
      </c>
    </row>
    <row r="15" spans="1:13" ht="15">
      <c r="A15" s="452">
        <v>2014</v>
      </c>
      <c r="B15" s="452"/>
      <c r="C15" s="309">
        <v>41.41524171629965</v>
      </c>
      <c r="D15" s="217">
        <v>42.30919093365798</v>
      </c>
      <c r="E15" s="217">
        <v>40.50876477854498</v>
      </c>
      <c r="F15" s="217"/>
      <c r="G15" s="309">
        <v>40.81046248465399</v>
      </c>
      <c r="H15" s="217">
        <v>42.46713061291236</v>
      </c>
      <c r="I15" s="217">
        <v>39.102621567837375</v>
      </c>
      <c r="J15" s="217"/>
      <c r="K15" s="309">
        <v>42.606963062575254</v>
      </c>
      <c r="L15" s="217">
        <v>41.99026988657428</v>
      </c>
      <c r="M15" s="217">
        <v>43.212289965483585</v>
      </c>
    </row>
    <row r="16" spans="1:13" ht="15">
      <c r="A16" s="452">
        <v>2015</v>
      </c>
      <c r="B16" s="452"/>
      <c r="C16" s="309">
        <v>41.74312334399125</v>
      </c>
      <c r="D16" s="217">
        <v>42.60557874999251</v>
      </c>
      <c r="E16" s="217">
        <v>40.866709656499495</v>
      </c>
      <c r="F16" s="217"/>
      <c r="G16" s="309">
        <v>41.137650332423206</v>
      </c>
      <c r="H16" s="217">
        <v>42.75434609918171</v>
      </c>
      <c r="I16" s="217">
        <v>39.47328429107515</v>
      </c>
      <c r="J16" s="217"/>
      <c r="K16" s="309">
        <v>42.9207505783107</v>
      </c>
      <c r="L16" s="217">
        <v>42.31066467808615</v>
      </c>
      <c r="M16" s="217">
        <v>43.525227148924344</v>
      </c>
    </row>
    <row r="17" spans="1:13" ht="15">
      <c r="A17" s="216">
        <v>2016</v>
      </c>
      <c r="B17" s="216"/>
      <c r="C17" s="309">
        <v>42.018195085807655</v>
      </c>
      <c r="D17" s="217">
        <v>42.9178496841792</v>
      </c>
      <c r="E17" s="217">
        <v>41.10327908968287</v>
      </c>
      <c r="F17" s="217"/>
      <c r="G17" s="309">
        <v>41.31015676699388</v>
      </c>
      <c r="H17" s="217">
        <v>42.96183297404709</v>
      </c>
      <c r="I17" s="217">
        <v>39.61174132404822</v>
      </c>
      <c r="J17" s="217"/>
      <c r="K17" s="309">
        <v>43.40245288534862</v>
      </c>
      <c r="L17" s="217">
        <v>42.83044822975982</v>
      </c>
      <c r="M17" s="217">
        <v>43.97169250985629</v>
      </c>
    </row>
    <row r="18" spans="1:13" ht="15">
      <c r="A18" s="216">
        <v>2017</v>
      </c>
      <c r="B18" s="216"/>
      <c r="C18" s="309">
        <v>42.34</v>
      </c>
      <c r="D18" s="217">
        <v>43.23</v>
      </c>
      <c r="E18" s="217">
        <v>41.43</v>
      </c>
      <c r="F18" s="217"/>
      <c r="G18" s="309">
        <v>41.55</v>
      </c>
      <c r="H18" s="217">
        <v>43.17</v>
      </c>
      <c r="I18" s="217">
        <v>39.88</v>
      </c>
      <c r="J18" s="217"/>
      <c r="K18" s="309">
        <v>43.87</v>
      </c>
      <c r="L18" s="217">
        <v>43.36</v>
      </c>
      <c r="M18" s="217">
        <v>44.38</v>
      </c>
    </row>
    <row r="19" spans="1:13" ht="15">
      <c r="A19" s="216">
        <v>2018</v>
      </c>
      <c r="B19" s="216"/>
      <c r="C19" s="309">
        <v>42.58</v>
      </c>
      <c r="D19" s="217">
        <v>43.51</v>
      </c>
      <c r="E19" s="217">
        <v>41.65</v>
      </c>
      <c r="F19" s="217"/>
      <c r="G19" s="309">
        <v>41.72</v>
      </c>
      <c r="H19" s="217">
        <v>43.33</v>
      </c>
      <c r="I19" s="217">
        <v>40.06</v>
      </c>
      <c r="J19" s="217"/>
      <c r="K19" s="309">
        <v>44.26</v>
      </c>
      <c r="L19" s="217">
        <v>43.86</v>
      </c>
      <c r="M19" s="217">
        <v>44.67</v>
      </c>
    </row>
    <row r="20" spans="1:13" ht="15.75" thickBot="1">
      <c r="A20" s="223">
        <v>2019</v>
      </c>
      <c r="B20" s="223"/>
      <c r="C20" s="310">
        <v>42.81249433508062</v>
      </c>
      <c r="D20" s="383">
        <v>43.714063781045944</v>
      </c>
      <c r="E20" s="383">
        <v>41.89605122196094</v>
      </c>
      <c r="F20" s="383"/>
      <c r="G20" s="310">
        <v>41.89838330099022</v>
      </c>
      <c r="H20" s="383">
        <v>43.48631257589488</v>
      </c>
      <c r="I20" s="383">
        <v>40.269430416042326</v>
      </c>
      <c r="J20" s="383"/>
      <c r="K20" s="310">
        <v>44.56910115937514</v>
      </c>
      <c r="L20" s="383">
        <v>44.15757205062111</v>
      </c>
      <c r="M20" s="383">
        <v>44.98013407628742</v>
      </c>
    </row>
    <row r="21" spans="1:15" ht="15">
      <c r="A21" s="391" t="s">
        <v>635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181"/>
      <c r="O21" s="181"/>
    </row>
    <row r="22" spans="1:13" ht="15">
      <c r="A22" s="216"/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13" ht="15">
      <c r="A23" s="216"/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  <row r="24" spans="1:13" ht="15">
      <c r="A24" s="216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5" spans="1:13" ht="44.25" customHeight="1">
      <c r="A25" s="216"/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</row>
    <row r="26" spans="1:13" s="182" customFormat="1" ht="18">
      <c r="A26" s="445" t="s">
        <v>520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</row>
    <row r="27" spans="1:6" ht="15.75" thickBot="1">
      <c r="A27" s="390" t="s">
        <v>471</v>
      </c>
      <c r="B27" s="390"/>
      <c r="C27" s="390"/>
      <c r="D27" s="390"/>
      <c r="E27" s="390"/>
      <c r="F27" s="192"/>
    </row>
    <row r="28" spans="2:6" ht="15.75">
      <c r="B28" s="446" t="s">
        <v>19</v>
      </c>
      <c r="C28" s="446"/>
      <c r="D28" s="446"/>
      <c r="E28" s="199" t="s">
        <v>20</v>
      </c>
      <c r="F28" s="197"/>
    </row>
    <row r="29" spans="1:6" ht="15">
      <c r="A29" s="222" t="s">
        <v>4</v>
      </c>
      <c r="B29" s="195"/>
      <c r="C29" s="195" t="s">
        <v>22</v>
      </c>
      <c r="D29" s="195" t="s">
        <v>21</v>
      </c>
      <c r="E29" s="195"/>
      <c r="F29" s="192"/>
    </row>
    <row r="30" spans="1:11" ht="15">
      <c r="A30" s="216">
        <v>2000</v>
      </c>
      <c r="B30" s="193"/>
      <c r="C30" s="193">
        <v>100.12320328542094</v>
      </c>
      <c r="D30" s="218">
        <v>98.46406570841889</v>
      </c>
      <c r="E30" s="193">
        <v>36.52</v>
      </c>
      <c r="F30" s="193"/>
      <c r="I30" s="219"/>
      <c r="J30" s="219"/>
      <c r="K30" s="193"/>
    </row>
    <row r="31" spans="1:11" ht="15">
      <c r="A31" s="216">
        <v>2005</v>
      </c>
      <c r="B31" s="193"/>
      <c r="C31" s="193">
        <v>101.62628336755647</v>
      </c>
      <c r="D31" s="219">
        <v>95.60574948665298</v>
      </c>
      <c r="E31" s="193">
        <v>38.67</v>
      </c>
      <c r="F31" s="193"/>
      <c r="I31" s="219"/>
      <c r="J31" s="219"/>
      <c r="K31" s="193"/>
    </row>
    <row r="32" spans="1:11" ht="15">
      <c r="A32" s="216">
        <v>2006</v>
      </c>
      <c r="B32" s="192"/>
      <c r="C32" s="192">
        <v>102.7</v>
      </c>
      <c r="D32" s="25">
        <v>96.7</v>
      </c>
      <c r="E32" s="192">
        <v>39.2</v>
      </c>
      <c r="F32" s="192"/>
      <c r="K32" s="192"/>
    </row>
    <row r="33" spans="1:11" ht="15">
      <c r="A33" s="216">
        <v>2007</v>
      </c>
      <c r="B33" s="193"/>
      <c r="C33" s="193">
        <v>99.88501026694045</v>
      </c>
      <c r="D33" s="219">
        <v>97.60438056125942</v>
      </c>
      <c r="E33" s="193">
        <v>39.71800136892539</v>
      </c>
      <c r="F33" s="193"/>
      <c r="I33" s="219"/>
      <c r="J33" s="219"/>
      <c r="K33" s="193"/>
    </row>
    <row r="34" spans="1:11" ht="15">
      <c r="A34" s="216">
        <v>2008</v>
      </c>
      <c r="B34" s="193"/>
      <c r="C34" s="193">
        <v>100.8870636550308</v>
      </c>
      <c r="D34" s="219">
        <v>98.60643394934976</v>
      </c>
      <c r="E34" s="193">
        <v>40.3066392881588</v>
      </c>
      <c r="F34" s="193"/>
      <c r="I34" s="219"/>
      <c r="J34" s="219"/>
      <c r="K34" s="193"/>
    </row>
    <row r="35" spans="1:11" ht="15">
      <c r="A35" s="216">
        <v>2009</v>
      </c>
      <c r="B35" s="193"/>
      <c r="C35" s="193">
        <v>101.9</v>
      </c>
      <c r="D35" s="219">
        <v>99.6</v>
      </c>
      <c r="E35" s="193">
        <v>40.73648186173853</v>
      </c>
      <c r="F35" s="193"/>
      <c r="I35" s="219"/>
      <c r="J35" s="219"/>
      <c r="K35" s="193"/>
    </row>
    <row r="36" spans="1:11" ht="15">
      <c r="A36" s="216">
        <v>2010</v>
      </c>
      <c r="B36" s="193"/>
      <c r="C36" s="193">
        <v>102.88569472963724</v>
      </c>
      <c r="D36" s="219">
        <v>98.3</v>
      </c>
      <c r="E36" s="193">
        <v>41.18001368925393</v>
      </c>
      <c r="F36" s="193"/>
      <c r="I36" s="219"/>
      <c r="J36" s="219"/>
      <c r="K36" s="193"/>
    </row>
    <row r="37" spans="1:11" ht="15">
      <c r="A37" s="216">
        <v>2011</v>
      </c>
      <c r="B37" s="193"/>
      <c r="C37" s="193">
        <v>103.88501026694045</v>
      </c>
      <c r="D37" s="219">
        <v>99.29363449691992</v>
      </c>
      <c r="E37" s="193">
        <v>41.61806981519507</v>
      </c>
      <c r="F37" s="193"/>
      <c r="I37" s="219"/>
      <c r="J37" s="219"/>
      <c r="K37" s="193"/>
    </row>
    <row r="38" spans="1:11" ht="15">
      <c r="A38" s="216">
        <v>2012</v>
      </c>
      <c r="B38" s="193"/>
      <c r="C38" s="193">
        <v>102.72689938398358</v>
      </c>
      <c r="D38" s="219">
        <v>100.3</v>
      </c>
      <c r="E38" s="193">
        <v>42.10814510609172</v>
      </c>
      <c r="F38" s="193"/>
      <c r="I38" s="219"/>
      <c r="J38" s="219"/>
      <c r="K38" s="193"/>
    </row>
    <row r="39" spans="1:11" ht="15">
      <c r="A39" s="216">
        <v>2013</v>
      </c>
      <c r="B39" s="193"/>
      <c r="C39" s="193">
        <v>103.7262149212868</v>
      </c>
      <c r="D39" s="219">
        <v>101.3</v>
      </c>
      <c r="E39" s="193">
        <v>42.51882272416153</v>
      </c>
      <c r="F39" s="193"/>
      <c r="I39" s="219"/>
      <c r="J39" s="219"/>
      <c r="K39" s="193"/>
    </row>
    <row r="40" spans="1:11" ht="15">
      <c r="A40" s="216">
        <v>2014</v>
      </c>
      <c r="B40" s="193"/>
      <c r="C40" s="193">
        <v>102.44490075290896</v>
      </c>
      <c r="D40" s="219">
        <v>102.2943189596167</v>
      </c>
      <c r="E40" s="193">
        <v>42.9</v>
      </c>
      <c r="F40" s="193"/>
      <c r="I40" s="219"/>
      <c r="J40" s="219"/>
      <c r="K40" s="193"/>
    </row>
    <row r="41" spans="1:11" ht="15">
      <c r="A41" s="216">
        <v>2015</v>
      </c>
      <c r="B41" s="193"/>
      <c r="C41" s="193">
        <v>101</v>
      </c>
      <c r="D41" s="219">
        <v>103.29363449692</v>
      </c>
      <c r="E41" s="193">
        <v>43.3</v>
      </c>
      <c r="F41" s="193"/>
      <c r="I41" s="219"/>
      <c r="J41" s="219"/>
      <c r="K41" s="193"/>
    </row>
    <row r="42" spans="1:11" ht="15">
      <c r="A42" s="216">
        <v>2016</v>
      </c>
      <c r="B42" s="193"/>
      <c r="C42" s="193">
        <v>101.77960301163587</v>
      </c>
      <c r="D42" s="193">
        <v>104.29568788501027</v>
      </c>
      <c r="E42" s="193">
        <v>43.62765229295003</v>
      </c>
      <c r="F42" s="193"/>
      <c r="I42" s="193"/>
      <c r="K42" s="193"/>
    </row>
    <row r="43" spans="1:11" ht="15">
      <c r="A43" s="216">
        <v>2017</v>
      </c>
      <c r="B43" s="193"/>
      <c r="C43" s="193">
        <v>102.8</v>
      </c>
      <c r="D43" s="193">
        <v>105.3</v>
      </c>
      <c r="E43" s="193">
        <v>44</v>
      </c>
      <c r="F43" s="193"/>
      <c r="I43" s="193"/>
      <c r="K43" s="193"/>
    </row>
    <row r="44" spans="1:6" ht="15">
      <c r="A44" s="216">
        <v>2018</v>
      </c>
      <c r="B44" s="193"/>
      <c r="C44" s="193">
        <v>99.9</v>
      </c>
      <c r="D44" s="193">
        <v>100</v>
      </c>
      <c r="E44" s="193">
        <v>44.4</v>
      </c>
      <c r="F44" s="193"/>
    </row>
    <row r="45" spans="1:6" ht="15.75" thickBot="1">
      <c r="A45" s="223">
        <v>2019</v>
      </c>
      <c r="B45" s="200"/>
      <c r="C45" s="200">
        <v>100.92539356605064</v>
      </c>
      <c r="D45" s="200">
        <v>99.95071868583162</v>
      </c>
      <c r="E45" s="200">
        <v>44.435318275154</v>
      </c>
      <c r="F45" s="193"/>
    </row>
    <row r="46" spans="1:15" ht="15">
      <c r="A46" s="455" t="s">
        <v>635</v>
      </c>
      <c r="B46" s="455"/>
      <c r="C46" s="455"/>
      <c r="D46" s="455"/>
      <c r="E46" s="455"/>
      <c r="F46" s="455"/>
      <c r="G46" s="455"/>
      <c r="H46" s="455"/>
      <c r="I46" s="181"/>
      <c r="J46" s="181"/>
      <c r="K46" s="181"/>
      <c r="L46" s="181"/>
      <c r="M46" s="181"/>
      <c r="N46" s="181"/>
      <c r="O46" s="181"/>
    </row>
    <row r="47" spans="1:15" ht="15">
      <c r="A47" s="327"/>
      <c r="B47" s="327"/>
      <c r="C47" s="327"/>
      <c r="D47" s="327"/>
      <c r="E47" s="327"/>
      <c r="F47" s="327"/>
      <c r="G47" s="327"/>
      <c r="H47" s="327"/>
      <c r="I47" s="326"/>
      <c r="J47" s="326"/>
      <c r="K47" s="326"/>
      <c r="L47" s="326"/>
      <c r="M47" s="326"/>
      <c r="N47" s="326"/>
      <c r="O47" s="326"/>
    </row>
    <row r="48" spans="1:13" ht="15.75">
      <c r="A48" s="457" t="s">
        <v>229</v>
      </c>
      <c r="B48" s="457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</row>
    <row r="49" spans="1:13" ht="15">
      <c r="A49" s="456" t="s">
        <v>66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</row>
  </sheetData>
  <sheetProtection/>
  <mergeCells count="25">
    <mergeCell ref="A46:H46"/>
    <mergeCell ref="A49:M49"/>
    <mergeCell ref="A48:M48"/>
    <mergeCell ref="A7:B7"/>
    <mergeCell ref="A11:B11"/>
    <mergeCell ref="B28:D28"/>
    <mergeCell ref="A14:B14"/>
    <mergeCell ref="A9:B9"/>
    <mergeCell ref="A21:M21"/>
    <mergeCell ref="A1:M1"/>
    <mergeCell ref="A2:M2"/>
    <mergeCell ref="K3:M3"/>
    <mergeCell ref="C3:E3"/>
    <mergeCell ref="A3:B3"/>
    <mergeCell ref="A13:B13"/>
    <mergeCell ref="A10:B10"/>
    <mergeCell ref="A6:B6"/>
    <mergeCell ref="G3:I3"/>
    <mergeCell ref="A4:B4"/>
    <mergeCell ref="A5:B5"/>
    <mergeCell ref="A8:B8"/>
    <mergeCell ref="A27:E27"/>
    <mergeCell ref="A15:B15"/>
    <mergeCell ref="A16:B16"/>
    <mergeCell ref="A26:M26"/>
  </mergeCells>
  <printOptions/>
  <pageMargins left="0.5905511811023623" right="0.5905511811023623" top="0.984251968503937" bottom="0.7874015748031497" header="0.4724409448818898" footer="0.472440944881889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9"/>
  <sheetViews>
    <sheetView zoomScale="85" zoomScaleNormal="85" zoomScalePageLayoutView="0" workbookViewId="0" topLeftCell="A1">
      <selection activeCell="P16" sqref="P16"/>
    </sheetView>
  </sheetViews>
  <sheetFormatPr defaultColWidth="11.421875" defaultRowHeight="12.75"/>
  <cols>
    <col min="1" max="1" width="24.28125" style="13" bestFit="1" customWidth="1"/>
    <col min="2" max="2" width="8.8515625" style="13" bestFit="1" customWidth="1"/>
    <col min="3" max="3" width="7.8515625" style="13" bestFit="1" customWidth="1"/>
    <col min="4" max="4" width="9.28125" style="13" bestFit="1" customWidth="1"/>
    <col min="5" max="5" width="8.8515625" style="13" bestFit="1" customWidth="1"/>
    <col min="6" max="6" width="14.140625" style="13" bestFit="1" customWidth="1"/>
    <col min="7" max="7" width="9.28125" style="13" bestFit="1" customWidth="1"/>
    <col min="8" max="8" width="9.7109375" style="13" bestFit="1" customWidth="1"/>
    <col min="9" max="9" width="9.00390625" style="13" bestFit="1" customWidth="1"/>
    <col min="10" max="10" width="9.28125" style="13" bestFit="1" customWidth="1"/>
    <col min="11" max="11" width="10.28125" style="13" bestFit="1" customWidth="1"/>
    <col min="12" max="12" width="9.28125" style="13" bestFit="1" customWidth="1"/>
    <col min="13" max="13" width="15.140625" style="13" bestFit="1" customWidth="1"/>
    <col min="14" max="16384" width="11.421875" style="13" customWidth="1"/>
  </cols>
  <sheetData>
    <row r="1" spans="1:13" s="66" customFormat="1" ht="18">
      <c r="A1" s="397" t="s">
        <v>145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s="66" customFormat="1" ht="15.75" customHeight="1">
      <c r="A2" s="394" t="s">
        <v>528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s="25" customFormat="1" ht="15.75" customHeight="1" thickBot="1">
      <c r="A3" s="395" t="s">
        <v>438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25" customFormat="1" ht="15.75" customHeight="1">
      <c r="A4" s="114"/>
      <c r="B4" s="328" t="s">
        <v>134</v>
      </c>
      <c r="C4" s="396" t="s">
        <v>122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s="25" customFormat="1" ht="15.75" customHeight="1">
      <c r="A5" s="114"/>
      <c r="B5" s="65"/>
      <c r="C5" s="258" t="s">
        <v>123</v>
      </c>
      <c r="D5" s="258" t="s">
        <v>124</v>
      </c>
      <c r="E5" s="258" t="s">
        <v>125</v>
      </c>
      <c r="F5" s="258" t="s">
        <v>126</v>
      </c>
      <c r="G5" s="258" t="s">
        <v>127</v>
      </c>
      <c r="H5" s="258" t="s">
        <v>128</v>
      </c>
      <c r="I5" s="258" t="s">
        <v>129</v>
      </c>
      <c r="J5" s="258" t="s">
        <v>130</v>
      </c>
      <c r="K5" s="258" t="s">
        <v>131</v>
      </c>
      <c r="L5" s="258" t="s">
        <v>132</v>
      </c>
      <c r="M5" s="258" t="s">
        <v>133</v>
      </c>
    </row>
    <row r="6" spans="1:13" s="25" customFormat="1" ht="15.75" customHeight="1">
      <c r="A6" s="48" t="s">
        <v>134</v>
      </c>
      <c r="B6" s="261">
        <v>38747</v>
      </c>
      <c r="C6" s="98">
        <v>5696</v>
      </c>
      <c r="D6" s="98">
        <v>5277</v>
      </c>
      <c r="E6" s="98">
        <v>4642</v>
      </c>
      <c r="F6" s="98">
        <v>2638</v>
      </c>
      <c r="G6" s="98">
        <v>6038</v>
      </c>
      <c r="H6" s="98">
        <v>473</v>
      </c>
      <c r="I6" s="98">
        <v>4465</v>
      </c>
      <c r="J6" s="98">
        <v>4399</v>
      </c>
      <c r="K6" s="98">
        <v>1690</v>
      </c>
      <c r="L6" s="98">
        <v>2322</v>
      </c>
      <c r="M6" s="98">
        <v>1107</v>
      </c>
    </row>
    <row r="7" spans="1:13" s="25" customFormat="1" ht="15.75" customHeight="1">
      <c r="A7" s="48" t="s">
        <v>135</v>
      </c>
      <c r="B7" s="261">
        <v>25485</v>
      </c>
      <c r="C7" s="98">
        <v>3264</v>
      </c>
      <c r="D7" s="98">
        <v>3323</v>
      </c>
      <c r="E7" s="98">
        <v>3393</v>
      </c>
      <c r="F7" s="98">
        <v>2077</v>
      </c>
      <c r="G7" s="98">
        <v>3750</v>
      </c>
      <c r="H7" s="98">
        <v>351</v>
      </c>
      <c r="I7" s="98">
        <v>2928</v>
      </c>
      <c r="J7" s="98">
        <v>2677</v>
      </c>
      <c r="K7" s="98">
        <v>1162</v>
      </c>
      <c r="L7" s="98">
        <v>1721</v>
      </c>
      <c r="M7" s="98">
        <v>839</v>
      </c>
    </row>
    <row r="8" spans="1:13" s="25" customFormat="1" ht="15.75" customHeight="1">
      <c r="A8" s="33" t="s">
        <v>136</v>
      </c>
      <c r="B8" s="261">
        <v>3732</v>
      </c>
      <c r="C8" s="98">
        <v>611</v>
      </c>
      <c r="D8" s="98">
        <v>605</v>
      </c>
      <c r="E8" s="98">
        <v>455</v>
      </c>
      <c r="F8" s="98">
        <v>201</v>
      </c>
      <c r="G8" s="98">
        <v>538</v>
      </c>
      <c r="H8" s="98">
        <v>47</v>
      </c>
      <c r="I8" s="98">
        <v>376</v>
      </c>
      <c r="J8" s="98">
        <v>404</v>
      </c>
      <c r="K8" s="98">
        <v>155</v>
      </c>
      <c r="L8" s="98">
        <v>249</v>
      </c>
      <c r="M8" s="98">
        <v>91</v>
      </c>
    </row>
    <row r="9" spans="1:13" s="25" customFormat="1" ht="15.75" customHeight="1">
      <c r="A9" s="33" t="s">
        <v>261</v>
      </c>
      <c r="B9" s="261">
        <v>7014</v>
      </c>
      <c r="C9" s="98">
        <v>1221</v>
      </c>
      <c r="D9" s="98">
        <v>942</v>
      </c>
      <c r="E9" s="98">
        <v>602</v>
      </c>
      <c r="F9" s="98">
        <v>314</v>
      </c>
      <c r="G9" s="98">
        <v>1447</v>
      </c>
      <c r="H9" s="98">
        <v>65</v>
      </c>
      <c r="I9" s="98">
        <v>710</v>
      </c>
      <c r="J9" s="98">
        <v>989</v>
      </c>
      <c r="K9" s="98">
        <v>284</v>
      </c>
      <c r="L9" s="98">
        <v>292</v>
      </c>
      <c r="M9" s="98">
        <v>148</v>
      </c>
    </row>
    <row r="10" spans="1:13" s="25" customFormat="1" ht="15.75" customHeight="1">
      <c r="A10" s="41" t="s">
        <v>148</v>
      </c>
      <c r="B10" s="262">
        <v>1694</v>
      </c>
      <c r="C10" s="68">
        <v>341</v>
      </c>
      <c r="D10" s="68">
        <v>205</v>
      </c>
      <c r="E10" s="68">
        <v>65</v>
      </c>
      <c r="F10" s="68">
        <v>119</v>
      </c>
      <c r="G10" s="68">
        <v>281</v>
      </c>
      <c r="H10" s="68">
        <v>36</v>
      </c>
      <c r="I10" s="68">
        <v>165</v>
      </c>
      <c r="J10" s="68">
        <v>235</v>
      </c>
      <c r="K10" s="68">
        <v>90</v>
      </c>
      <c r="L10" s="68">
        <v>100</v>
      </c>
      <c r="M10" s="68">
        <v>57</v>
      </c>
    </row>
    <row r="11" spans="1:13" s="25" customFormat="1" ht="15.75" customHeight="1">
      <c r="A11" s="41" t="s">
        <v>150</v>
      </c>
      <c r="B11" s="262">
        <v>90</v>
      </c>
      <c r="C11" s="68">
        <v>14</v>
      </c>
      <c r="D11" s="68">
        <v>15</v>
      </c>
      <c r="E11" s="68">
        <v>5</v>
      </c>
      <c r="F11" s="68">
        <v>16</v>
      </c>
      <c r="G11" s="68">
        <v>16</v>
      </c>
      <c r="H11" s="68">
        <v>0</v>
      </c>
      <c r="I11" s="68">
        <v>4</v>
      </c>
      <c r="J11" s="68">
        <v>14</v>
      </c>
      <c r="K11" s="68">
        <v>3</v>
      </c>
      <c r="L11" s="68">
        <v>0</v>
      </c>
      <c r="M11" s="68">
        <v>3</v>
      </c>
    </row>
    <row r="12" spans="1:13" s="25" customFormat="1" ht="15.75" customHeight="1">
      <c r="A12" s="41" t="s">
        <v>151</v>
      </c>
      <c r="B12" s="262">
        <v>51</v>
      </c>
      <c r="C12" s="68">
        <v>4</v>
      </c>
      <c r="D12" s="68">
        <v>3</v>
      </c>
      <c r="E12" s="68">
        <v>0</v>
      </c>
      <c r="F12" s="68">
        <v>0</v>
      </c>
      <c r="G12" s="68">
        <v>37</v>
      </c>
      <c r="H12" s="68">
        <v>0</v>
      </c>
      <c r="I12" s="68">
        <v>6</v>
      </c>
      <c r="J12" s="68">
        <v>0</v>
      </c>
      <c r="K12" s="68">
        <v>0</v>
      </c>
      <c r="L12" s="68">
        <v>1</v>
      </c>
      <c r="M12" s="68">
        <v>0</v>
      </c>
    </row>
    <row r="13" spans="1:13" s="25" customFormat="1" ht="15.75" customHeight="1">
      <c r="A13" s="41" t="s">
        <v>167</v>
      </c>
      <c r="B13" s="262">
        <v>57</v>
      </c>
      <c r="C13" s="68">
        <v>11</v>
      </c>
      <c r="D13" s="68">
        <v>8</v>
      </c>
      <c r="E13" s="68">
        <v>3</v>
      </c>
      <c r="F13" s="68">
        <v>1</v>
      </c>
      <c r="G13" s="68">
        <v>16</v>
      </c>
      <c r="H13" s="68">
        <v>1</v>
      </c>
      <c r="I13" s="68">
        <v>4</v>
      </c>
      <c r="J13" s="68">
        <v>7</v>
      </c>
      <c r="K13" s="68">
        <v>2</v>
      </c>
      <c r="L13" s="68">
        <v>3</v>
      </c>
      <c r="M13" s="68">
        <v>1</v>
      </c>
    </row>
    <row r="14" spans="1:13" s="25" customFormat="1" ht="15.75" customHeight="1">
      <c r="A14" s="41" t="s">
        <v>153</v>
      </c>
      <c r="B14" s="262">
        <v>1183</v>
      </c>
      <c r="C14" s="68">
        <v>163</v>
      </c>
      <c r="D14" s="68">
        <v>201</v>
      </c>
      <c r="E14" s="68">
        <v>307</v>
      </c>
      <c r="F14" s="68">
        <v>24</v>
      </c>
      <c r="G14" s="68">
        <v>196</v>
      </c>
      <c r="H14" s="68">
        <v>5</v>
      </c>
      <c r="I14" s="68">
        <v>71</v>
      </c>
      <c r="J14" s="68">
        <v>152</v>
      </c>
      <c r="K14" s="68">
        <v>37</v>
      </c>
      <c r="L14" s="68">
        <v>22</v>
      </c>
      <c r="M14" s="68">
        <v>5</v>
      </c>
    </row>
    <row r="15" spans="1:13" s="25" customFormat="1" ht="15.75" customHeight="1">
      <c r="A15" s="41" t="s">
        <v>162</v>
      </c>
      <c r="B15" s="262">
        <v>119</v>
      </c>
      <c r="C15" s="68">
        <v>18</v>
      </c>
      <c r="D15" s="68">
        <v>18</v>
      </c>
      <c r="E15" s="68">
        <v>0</v>
      </c>
      <c r="F15" s="68">
        <v>5</v>
      </c>
      <c r="G15" s="68">
        <v>39</v>
      </c>
      <c r="H15" s="68">
        <v>0</v>
      </c>
      <c r="I15" s="68">
        <v>19</v>
      </c>
      <c r="J15" s="68">
        <v>17</v>
      </c>
      <c r="K15" s="68">
        <v>0</v>
      </c>
      <c r="L15" s="68">
        <v>3</v>
      </c>
      <c r="M15" s="68">
        <v>0</v>
      </c>
    </row>
    <row r="16" spans="1:13" s="25" customFormat="1" ht="15.75" customHeight="1">
      <c r="A16" s="41" t="s">
        <v>155</v>
      </c>
      <c r="B16" s="262">
        <v>72</v>
      </c>
      <c r="C16" s="68">
        <v>15</v>
      </c>
      <c r="D16" s="68">
        <v>19</v>
      </c>
      <c r="E16" s="68">
        <v>2</v>
      </c>
      <c r="F16" s="68">
        <v>6</v>
      </c>
      <c r="G16" s="68">
        <v>12</v>
      </c>
      <c r="H16" s="68">
        <v>0</v>
      </c>
      <c r="I16" s="68">
        <v>3</v>
      </c>
      <c r="J16" s="68">
        <v>9</v>
      </c>
      <c r="K16" s="68">
        <v>1</v>
      </c>
      <c r="L16" s="68">
        <v>2</v>
      </c>
      <c r="M16" s="68">
        <v>3</v>
      </c>
    </row>
    <row r="17" spans="1:13" s="25" customFormat="1" ht="15.75" customHeight="1">
      <c r="A17" s="41" t="s">
        <v>157</v>
      </c>
      <c r="B17" s="262">
        <v>2297</v>
      </c>
      <c r="C17" s="68">
        <v>392</v>
      </c>
      <c r="D17" s="68">
        <v>237</v>
      </c>
      <c r="E17" s="68">
        <v>118</v>
      </c>
      <c r="F17" s="68">
        <v>102</v>
      </c>
      <c r="G17" s="68">
        <v>376</v>
      </c>
      <c r="H17" s="68">
        <v>22</v>
      </c>
      <c r="I17" s="68">
        <v>327</v>
      </c>
      <c r="J17" s="68">
        <v>427</v>
      </c>
      <c r="K17" s="68">
        <v>100</v>
      </c>
      <c r="L17" s="68">
        <v>130</v>
      </c>
      <c r="M17" s="68">
        <v>66</v>
      </c>
    </row>
    <row r="18" spans="1:13" s="25" customFormat="1" ht="15.75" customHeight="1">
      <c r="A18" s="41" t="s">
        <v>158</v>
      </c>
      <c r="B18" s="262">
        <v>695</v>
      </c>
      <c r="C18" s="68">
        <v>129</v>
      </c>
      <c r="D18" s="68">
        <v>168</v>
      </c>
      <c r="E18" s="68">
        <v>72</v>
      </c>
      <c r="F18" s="68">
        <v>7</v>
      </c>
      <c r="G18" s="68">
        <v>214</v>
      </c>
      <c r="H18" s="68">
        <v>0</v>
      </c>
      <c r="I18" s="68">
        <v>46</v>
      </c>
      <c r="J18" s="68">
        <v>31</v>
      </c>
      <c r="K18" s="68">
        <v>25</v>
      </c>
      <c r="L18" s="68">
        <v>1</v>
      </c>
      <c r="M18" s="68">
        <v>2</v>
      </c>
    </row>
    <row r="19" spans="1:13" s="25" customFormat="1" ht="15.75" customHeight="1">
      <c r="A19" s="41" t="s">
        <v>164</v>
      </c>
      <c r="B19" s="262">
        <v>51</v>
      </c>
      <c r="C19" s="68">
        <v>9</v>
      </c>
      <c r="D19" s="68">
        <v>3</v>
      </c>
      <c r="E19" s="68">
        <v>3</v>
      </c>
      <c r="F19" s="68">
        <v>0</v>
      </c>
      <c r="G19" s="68">
        <v>10</v>
      </c>
      <c r="H19" s="68">
        <v>0</v>
      </c>
      <c r="I19" s="68">
        <v>11</v>
      </c>
      <c r="J19" s="68">
        <v>3</v>
      </c>
      <c r="K19" s="68">
        <v>5</v>
      </c>
      <c r="L19" s="68">
        <v>5</v>
      </c>
      <c r="M19" s="68">
        <v>2</v>
      </c>
    </row>
    <row r="20" spans="1:13" s="25" customFormat="1" ht="15.75" customHeight="1">
      <c r="A20" s="41" t="s">
        <v>160</v>
      </c>
      <c r="B20" s="262">
        <v>378</v>
      </c>
      <c r="C20" s="68">
        <v>50</v>
      </c>
      <c r="D20" s="68">
        <v>11</v>
      </c>
      <c r="E20" s="68">
        <v>6</v>
      </c>
      <c r="F20" s="68">
        <v>4</v>
      </c>
      <c r="G20" s="68">
        <v>202</v>
      </c>
      <c r="H20" s="68">
        <v>1</v>
      </c>
      <c r="I20" s="68">
        <v>35</v>
      </c>
      <c r="J20" s="68">
        <v>41</v>
      </c>
      <c r="K20" s="68">
        <v>13</v>
      </c>
      <c r="L20" s="68">
        <v>15</v>
      </c>
      <c r="M20" s="68">
        <v>0</v>
      </c>
    </row>
    <row r="21" spans="1:13" s="25" customFormat="1" ht="15.75" customHeight="1">
      <c r="A21" s="41" t="s">
        <v>166</v>
      </c>
      <c r="B21" s="262">
        <v>327</v>
      </c>
      <c r="C21" s="68">
        <v>75</v>
      </c>
      <c r="D21" s="68">
        <v>54</v>
      </c>
      <c r="E21" s="68">
        <v>21</v>
      </c>
      <c r="F21" s="68">
        <v>30</v>
      </c>
      <c r="G21" s="68">
        <v>48</v>
      </c>
      <c r="H21" s="68">
        <v>0</v>
      </c>
      <c r="I21" s="68">
        <v>19</v>
      </c>
      <c r="J21" s="68">
        <v>53</v>
      </c>
      <c r="K21" s="68">
        <v>8</v>
      </c>
      <c r="L21" s="68">
        <v>10</v>
      </c>
      <c r="M21" s="68">
        <v>9</v>
      </c>
    </row>
    <row r="22" spans="1:14" s="25" customFormat="1" ht="15.75" customHeight="1">
      <c r="A22" s="33" t="s">
        <v>276</v>
      </c>
      <c r="B22" s="261">
        <v>1729</v>
      </c>
      <c r="C22" s="98">
        <v>387</v>
      </c>
      <c r="D22" s="98">
        <v>289</v>
      </c>
      <c r="E22" s="98">
        <v>115</v>
      </c>
      <c r="F22" s="98">
        <v>17</v>
      </c>
      <c r="G22" s="98">
        <v>179</v>
      </c>
      <c r="H22" s="98">
        <v>3</v>
      </c>
      <c r="I22" s="98">
        <v>379</v>
      </c>
      <c r="J22" s="98">
        <v>246</v>
      </c>
      <c r="K22" s="98">
        <v>68</v>
      </c>
      <c r="L22" s="98">
        <v>29</v>
      </c>
      <c r="M22" s="98">
        <v>17</v>
      </c>
      <c r="N22" s="70"/>
    </row>
    <row r="23" spans="1:13" s="25" customFormat="1" ht="15.75" customHeight="1">
      <c r="A23" s="41" t="s">
        <v>161</v>
      </c>
      <c r="B23" s="262">
        <v>262</v>
      </c>
      <c r="C23" s="68">
        <v>68</v>
      </c>
      <c r="D23" s="68">
        <v>27</v>
      </c>
      <c r="E23" s="68">
        <v>15</v>
      </c>
      <c r="F23" s="68">
        <v>1</v>
      </c>
      <c r="G23" s="68">
        <v>31</v>
      </c>
      <c r="H23" s="68">
        <v>0</v>
      </c>
      <c r="I23" s="68">
        <v>73</v>
      </c>
      <c r="J23" s="68">
        <v>42</v>
      </c>
      <c r="K23" s="68">
        <v>4</v>
      </c>
      <c r="L23" s="68">
        <v>1</v>
      </c>
      <c r="M23" s="68">
        <v>0</v>
      </c>
    </row>
    <row r="24" spans="1:13" s="25" customFormat="1" ht="15.75" customHeight="1">
      <c r="A24" s="41" t="s">
        <v>240</v>
      </c>
      <c r="B24" s="262">
        <v>427</v>
      </c>
      <c r="C24" s="68">
        <v>119</v>
      </c>
      <c r="D24" s="68">
        <v>72</v>
      </c>
      <c r="E24" s="68">
        <v>33</v>
      </c>
      <c r="F24" s="68">
        <v>3</v>
      </c>
      <c r="G24" s="68">
        <v>38</v>
      </c>
      <c r="H24" s="68">
        <v>0</v>
      </c>
      <c r="I24" s="68">
        <v>98</v>
      </c>
      <c r="J24" s="68">
        <v>32</v>
      </c>
      <c r="K24" s="68">
        <v>19</v>
      </c>
      <c r="L24" s="68">
        <v>13</v>
      </c>
      <c r="M24" s="68">
        <v>0</v>
      </c>
    </row>
    <row r="25" spans="1:13" s="25" customFormat="1" ht="15.75" customHeight="1">
      <c r="A25" s="41" t="s">
        <v>163</v>
      </c>
      <c r="B25" s="262">
        <v>142</v>
      </c>
      <c r="C25" s="68">
        <v>29</v>
      </c>
      <c r="D25" s="68">
        <v>17</v>
      </c>
      <c r="E25" s="68">
        <v>19</v>
      </c>
      <c r="F25" s="68">
        <v>1</v>
      </c>
      <c r="G25" s="68">
        <v>17</v>
      </c>
      <c r="H25" s="68">
        <v>0</v>
      </c>
      <c r="I25" s="68">
        <v>17</v>
      </c>
      <c r="J25" s="68">
        <v>40</v>
      </c>
      <c r="K25" s="68">
        <v>2</v>
      </c>
      <c r="L25" s="68">
        <v>0</v>
      </c>
      <c r="M25" s="68">
        <v>0</v>
      </c>
    </row>
    <row r="26" spans="1:13" s="25" customFormat="1" ht="15.75" customHeight="1">
      <c r="A26" s="41" t="s">
        <v>245</v>
      </c>
      <c r="B26" s="262">
        <v>231</v>
      </c>
      <c r="C26" s="68">
        <v>39</v>
      </c>
      <c r="D26" s="68">
        <v>67</v>
      </c>
      <c r="E26" s="68">
        <v>33</v>
      </c>
      <c r="F26" s="68">
        <v>6</v>
      </c>
      <c r="G26" s="68">
        <v>36</v>
      </c>
      <c r="H26" s="68">
        <v>0</v>
      </c>
      <c r="I26" s="68">
        <v>24</v>
      </c>
      <c r="J26" s="68">
        <v>14</v>
      </c>
      <c r="K26" s="68">
        <v>6</v>
      </c>
      <c r="L26" s="68">
        <v>1</v>
      </c>
      <c r="M26" s="68">
        <v>5</v>
      </c>
    </row>
    <row r="27" spans="1:13" s="25" customFormat="1" ht="15.75" customHeight="1">
      <c r="A27" s="41" t="s">
        <v>165</v>
      </c>
      <c r="B27" s="262">
        <v>555</v>
      </c>
      <c r="C27" s="68">
        <v>112</v>
      </c>
      <c r="D27" s="68">
        <v>85</v>
      </c>
      <c r="E27" s="68">
        <v>4</v>
      </c>
      <c r="F27" s="68">
        <v>3</v>
      </c>
      <c r="G27" s="68">
        <v>38</v>
      </c>
      <c r="H27" s="68">
        <v>0</v>
      </c>
      <c r="I27" s="68">
        <v>156</v>
      </c>
      <c r="J27" s="68">
        <v>101</v>
      </c>
      <c r="K27" s="68">
        <v>36</v>
      </c>
      <c r="L27" s="68">
        <v>8</v>
      </c>
      <c r="M27" s="68">
        <v>12</v>
      </c>
    </row>
    <row r="28" spans="1:13" s="25" customFormat="1" ht="15.75" customHeight="1">
      <c r="A28" s="41" t="s">
        <v>166</v>
      </c>
      <c r="B28" s="262">
        <v>112</v>
      </c>
      <c r="C28" s="68">
        <v>20</v>
      </c>
      <c r="D28" s="68">
        <v>21</v>
      </c>
      <c r="E28" s="68">
        <v>11</v>
      </c>
      <c r="F28" s="68">
        <v>3</v>
      </c>
      <c r="G28" s="68">
        <v>19</v>
      </c>
      <c r="H28" s="68">
        <v>3</v>
      </c>
      <c r="I28" s="68">
        <v>11</v>
      </c>
      <c r="J28" s="68">
        <v>17</v>
      </c>
      <c r="K28" s="68">
        <v>1</v>
      </c>
      <c r="L28" s="68">
        <v>6</v>
      </c>
      <c r="M28" s="68">
        <v>0</v>
      </c>
    </row>
    <row r="29" spans="1:13" s="25" customFormat="1" ht="15.75" customHeight="1">
      <c r="A29" s="33" t="s">
        <v>277</v>
      </c>
      <c r="B29" s="261">
        <v>153</v>
      </c>
      <c r="C29" s="98">
        <v>48</v>
      </c>
      <c r="D29" s="98">
        <v>26</v>
      </c>
      <c r="E29" s="98">
        <v>4</v>
      </c>
      <c r="F29" s="98">
        <v>0</v>
      </c>
      <c r="G29" s="98">
        <v>18</v>
      </c>
      <c r="H29" s="98">
        <v>2</v>
      </c>
      <c r="I29" s="98">
        <v>21</v>
      </c>
      <c r="J29" s="98">
        <v>26</v>
      </c>
      <c r="K29" s="98">
        <v>4</v>
      </c>
      <c r="L29" s="98">
        <v>2</v>
      </c>
      <c r="M29" s="98">
        <v>2</v>
      </c>
    </row>
    <row r="30" spans="1:13" s="25" customFormat="1" ht="15.75" customHeight="1">
      <c r="A30" s="33" t="s">
        <v>278</v>
      </c>
      <c r="B30" s="261">
        <v>299</v>
      </c>
      <c r="C30" s="98">
        <v>71</v>
      </c>
      <c r="D30" s="98">
        <v>35</v>
      </c>
      <c r="E30" s="98">
        <v>23</v>
      </c>
      <c r="F30" s="98">
        <v>22</v>
      </c>
      <c r="G30" s="98">
        <v>47</v>
      </c>
      <c r="H30" s="98">
        <v>3</v>
      </c>
      <c r="I30" s="98">
        <v>30</v>
      </c>
      <c r="J30" s="98">
        <v>31</v>
      </c>
      <c r="K30" s="98">
        <v>8</v>
      </c>
      <c r="L30" s="98">
        <v>21</v>
      </c>
      <c r="M30" s="98">
        <v>8</v>
      </c>
    </row>
    <row r="31" spans="1:13" s="25" customFormat="1" ht="15.75" customHeight="1">
      <c r="A31" s="41" t="s">
        <v>194</v>
      </c>
      <c r="B31" s="262">
        <v>56</v>
      </c>
      <c r="C31" s="68">
        <v>9</v>
      </c>
      <c r="D31" s="68">
        <v>6</v>
      </c>
      <c r="E31" s="68">
        <v>7</v>
      </c>
      <c r="F31" s="68">
        <v>7</v>
      </c>
      <c r="G31" s="68">
        <v>14</v>
      </c>
      <c r="H31" s="68">
        <v>0</v>
      </c>
      <c r="I31" s="68">
        <v>6</v>
      </c>
      <c r="J31" s="68">
        <v>1</v>
      </c>
      <c r="K31" s="68">
        <v>1</v>
      </c>
      <c r="L31" s="68">
        <v>3</v>
      </c>
      <c r="M31" s="68">
        <v>2</v>
      </c>
    </row>
    <row r="32" spans="1:13" s="25" customFormat="1" ht="15.75" customHeight="1">
      <c r="A32" s="41" t="s">
        <v>172</v>
      </c>
      <c r="B32" s="262">
        <v>100</v>
      </c>
      <c r="C32" s="68">
        <v>24</v>
      </c>
      <c r="D32" s="68">
        <v>10</v>
      </c>
      <c r="E32" s="68">
        <v>8</v>
      </c>
      <c r="F32" s="68">
        <v>5</v>
      </c>
      <c r="G32" s="68">
        <v>13</v>
      </c>
      <c r="H32" s="68">
        <v>0</v>
      </c>
      <c r="I32" s="68">
        <v>12</v>
      </c>
      <c r="J32" s="68">
        <v>10</v>
      </c>
      <c r="K32" s="68">
        <v>3</v>
      </c>
      <c r="L32" s="68">
        <v>11</v>
      </c>
      <c r="M32" s="68">
        <v>4</v>
      </c>
    </row>
    <row r="33" spans="1:13" s="25" customFormat="1" ht="15.75" customHeight="1">
      <c r="A33" s="41" t="s">
        <v>166</v>
      </c>
      <c r="B33" s="262">
        <v>143</v>
      </c>
      <c r="C33" s="68">
        <v>38</v>
      </c>
      <c r="D33" s="68">
        <v>19</v>
      </c>
      <c r="E33" s="68">
        <v>8</v>
      </c>
      <c r="F33" s="68">
        <v>10</v>
      </c>
      <c r="G33" s="68">
        <v>20</v>
      </c>
      <c r="H33" s="68">
        <v>3</v>
      </c>
      <c r="I33" s="68">
        <v>12</v>
      </c>
      <c r="J33" s="68">
        <v>20</v>
      </c>
      <c r="K33" s="68">
        <v>4</v>
      </c>
      <c r="L33" s="68">
        <v>7</v>
      </c>
      <c r="M33" s="68">
        <v>2</v>
      </c>
    </row>
    <row r="34" spans="1:13" s="25" customFormat="1" ht="15.75" customHeight="1">
      <c r="A34" s="33" t="s">
        <v>279</v>
      </c>
      <c r="B34" s="261">
        <v>325</v>
      </c>
      <c r="C34" s="98">
        <v>89</v>
      </c>
      <c r="D34" s="98">
        <v>57</v>
      </c>
      <c r="E34" s="98">
        <v>50</v>
      </c>
      <c r="F34" s="98">
        <v>7</v>
      </c>
      <c r="G34" s="98">
        <v>56</v>
      </c>
      <c r="H34" s="98">
        <v>2</v>
      </c>
      <c r="I34" s="98">
        <v>19</v>
      </c>
      <c r="J34" s="98">
        <v>26</v>
      </c>
      <c r="K34" s="98">
        <v>9</v>
      </c>
      <c r="L34" s="98">
        <v>8</v>
      </c>
      <c r="M34" s="68">
        <v>2</v>
      </c>
    </row>
    <row r="35" spans="1:13" s="25" customFormat="1" ht="15.75" customHeight="1">
      <c r="A35" s="41" t="s">
        <v>281</v>
      </c>
      <c r="B35" s="262">
        <v>99</v>
      </c>
      <c r="C35" s="68">
        <v>28</v>
      </c>
      <c r="D35" s="68">
        <v>19</v>
      </c>
      <c r="E35" s="68">
        <v>25</v>
      </c>
      <c r="F35" s="68">
        <v>1</v>
      </c>
      <c r="G35" s="68">
        <v>17</v>
      </c>
      <c r="H35" s="68">
        <v>0</v>
      </c>
      <c r="I35" s="68">
        <v>3</v>
      </c>
      <c r="J35" s="68">
        <v>0</v>
      </c>
      <c r="K35" s="68">
        <v>3</v>
      </c>
      <c r="L35" s="68">
        <v>3</v>
      </c>
      <c r="M35" s="68">
        <v>0</v>
      </c>
    </row>
    <row r="36" spans="1:13" s="25" customFormat="1" ht="15.75" customHeight="1">
      <c r="A36" s="71" t="s">
        <v>190</v>
      </c>
      <c r="B36" s="262">
        <v>52</v>
      </c>
      <c r="C36" s="68">
        <v>6</v>
      </c>
      <c r="D36" s="68">
        <v>3</v>
      </c>
      <c r="E36" s="68">
        <v>11</v>
      </c>
      <c r="F36" s="68">
        <v>4</v>
      </c>
      <c r="G36" s="68">
        <v>10</v>
      </c>
      <c r="H36" s="68">
        <v>2</v>
      </c>
      <c r="I36" s="68">
        <v>9</v>
      </c>
      <c r="J36" s="68">
        <v>3</v>
      </c>
      <c r="K36" s="68">
        <v>2</v>
      </c>
      <c r="L36" s="68">
        <v>1</v>
      </c>
      <c r="M36" s="68">
        <v>1</v>
      </c>
    </row>
    <row r="37" spans="1:13" s="25" customFormat="1" ht="15.75" customHeight="1">
      <c r="A37" s="71" t="s">
        <v>166</v>
      </c>
      <c r="B37" s="262">
        <v>174</v>
      </c>
      <c r="C37" s="68">
        <v>55</v>
      </c>
      <c r="D37" s="68">
        <v>35</v>
      </c>
      <c r="E37" s="68">
        <v>14</v>
      </c>
      <c r="F37" s="68">
        <v>2</v>
      </c>
      <c r="G37" s="68">
        <v>29</v>
      </c>
      <c r="H37" s="68">
        <v>0</v>
      </c>
      <c r="I37" s="68">
        <v>7</v>
      </c>
      <c r="J37" s="68">
        <v>23</v>
      </c>
      <c r="K37" s="68">
        <v>4</v>
      </c>
      <c r="L37" s="68">
        <v>4</v>
      </c>
      <c r="M37" s="68">
        <v>1</v>
      </c>
    </row>
    <row r="38" spans="1:13" s="25" customFormat="1" ht="15.75" customHeight="1" thickBot="1">
      <c r="A38" s="108" t="s">
        <v>280</v>
      </c>
      <c r="B38" s="266">
        <v>10</v>
      </c>
      <c r="C38" s="99">
        <v>5</v>
      </c>
      <c r="D38" s="99">
        <v>0</v>
      </c>
      <c r="E38" s="99">
        <v>0</v>
      </c>
      <c r="F38" s="99">
        <v>0</v>
      </c>
      <c r="G38" s="99">
        <v>3</v>
      </c>
      <c r="H38" s="99">
        <v>0</v>
      </c>
      <c r="I38" s="99">
        <v>2</v>
      </c>
      <c r="J38" s="99">
        <v>0</v>
      </c>
      <c r="K38" s="99">
        <v>0</v>
      </c>
      <c r="L38" s="99">
        <v>0</v>
      </c>
      <c r="M38" s="99">
        <v>0</v>
      </c>
    </row>
    <row r="39" spans="1:13" ht="15">
      <c r="A39" s="392" t="s">
        <v>635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</row>
    <row r="40" spans="1:12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2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1:12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</row>
    <row r="49" spans="1:12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</row>
    <row r="53" spans="1:12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</row>
    <row r="59" spans="1:12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</row>
    <row r="60" spans="1:12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1:12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1:12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1:12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1:12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</row>
    <row r="65" spans="1:12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</row>
    <row r="66" spans="1:12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</row>
    <row r="68" spans="1:12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</row>
    <row r="69" spans="1:12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12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</row>
    <row r="71" spans="1:12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</row>
    <row r="72" spans="1:12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</row>
    <row r="73" spans="1:12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</row>
    <row r="74" spans="1:12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</row>
    <row r="75" spans="1:12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</row>
    <row r="76" spans="1:12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</row>
    <row r="77" spans="1:12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</row>
    <row r="78" spans="1:12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</row>
    <row r="80" spans="1:12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</row>
    <row r="81" spans="1:12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</row>
    <row r="82" spans="1:1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</row>
    <row r="83" spans="1:12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</row>
    <row r="84" spans="1:12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</row>
    <row r="86" spans="1:12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"/>
    </row>
    <row r="88" spans="1:12" ht="1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/>
    </row>
    <row r="89" spans="1:12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</row>
    <row r="90" spans="1:12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</row>
    <row r="92" spans="1:1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</row>
    <row r="93" spans="1:12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</row>
    <row r="94" spans="1:12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</row>
    <row r="95" spans="1:12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</row>
    <row r="97" spans="1:12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</row>
    <row r="98" spans="1:12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</row>
    <row r="100" spans="1:12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1:12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1:12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</row>
    <row r="105" spans="1:12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1:12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1:12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1:12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1:12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1:12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1:12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1: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1:12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1:12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1:12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1:12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1:12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1:12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1:12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1:12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/>
    </row>
    <row r="123" spans="1:12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/>
    </row>
    <row r="124" spans="1:12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/>
    </row>
    <row r="125" spans="1:12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1:12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/>
    </row>
    <row r="127" spans="1:12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/>
    </row>
    <row r="128" spans="1:12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/>
    </row>
    <row r="129" spans="1:12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1:12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/>
    </row>
    <row r="131" spans="1:12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/>
    </row>
    <row r="132" spans="1:1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/>
    </row>
    <row r="133" spans="1:12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1:12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/>
    </row>
    <row r="135" spans="1:12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/>
    </row>
    <row r="136" spans="1:12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/>
    </row>
    <row r="137" spans="1:12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/>
    </row>
    <row r="138" spans="1:12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/>
    </row>
    <row r="139" spans="1:12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/>
    </row>
    <row r="140" spans="1:1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2" ht="1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"/>
    </row>
    <row r="142" spans="1:12" ht="1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8"/>
    </row>
    <row r="143" spans="1:12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5"/>
    </row>
    <row r="144" spans="1:12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1:12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1:12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5"/>
    </row>
    <row r="147" spans="1:12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5"/>
    </row>
    <row r="148" spans="1:12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5"/>
    </row>
    <row r="149" spans="1:12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5"/>
    </row>
    <row r="150" spans="1:12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5"/>
    </row>
    <row r="151" spans="1:12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5"/>
    </row>
    <row r="152" spans="1:12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1:12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5"/>
    </row>
    <row r="154" spans="1:12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/>
    </row>
    <row r="155" spans="1:12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5"/>
    </row>
    <row r="156" spans="1:12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</row>
    <row r="157" spans="1:12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5"/>
    </row>
    <row r="158" spans="1:12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/>
    </row>
    <row r="159" spans="1:12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5"/>
    </row>
    <row r="160" spans="1:12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5"/>
    </row>
    <row r="161" spans="1:12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5"/>
    </row>
    <row r="162" spans="1:12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5"/>
    </row>
    <row r="163" spans="1:12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5"/>
    </row>
    <row r="164" spans="1:12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5"/>
    </row>
    <row r="165" spans="1:12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5"/>
    </row>
    <row r="166" spans="1:12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5"/>
    </row>
    <row r="167" spans="1:12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</row>
    <row r="168" spans="1:12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5"/>
    </row>
    <row r="169" spans="1:12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5"/>
    </row>
    <row r="170" spans="1:12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5"/>
    </row>
    <row r="171" spans="1:12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5"/>
    </row>
    <row r="172" spans="1:12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5"/>
    </row>
    <row r="173" spans="1:12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5"/>
    </row>
    <row r="174" spans="1:12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5"/>
    </row>
    <row r="175" spans="1:12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5"/>
    </row>
    <row r="176" spans="1:12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5"/>
    </row>
    <row r="177" spans="1:12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5"/>
    </row>
    <row r="178" spans="1:12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5"/>
    </row>
    <row r="179" spans="1:12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5"/>
    </row>
    <row r="180" spans="1:12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5"/>
    </row>
    <row r="181" spans="1:12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5"/>
    </row>
    <row r="182" spans="1:12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5"/>
    </row>
    <row r="183" spans="1:12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5"/>
    </row>
    <row r="185" spans="1:12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5"/>
    </row>
    <row r="186" spans="1:12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5"/>
    </row>
    <row r="187" spans="1:12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5"/>
    </row>
    <row r="188" spans="1:12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5"/>
    </row>
    <row r="189" spans="1:12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5"/>
    </row>
    <row r="191" spans="1:12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5"/>
    </row>
    <row r="192" spans="1:12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5"/>
    </row>
    <row r="193" spans="1:12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"/>
    </row>
    <row r="195" spans="1:12" ht="15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8"/>
    </row>
    <row r="196" spans="1:12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5"/>
    </row>
    <row r="198" spans="1:12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5"/>
    </row>
    <row r="199" spans="1:12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5"/>
    </row>
    <row r="200" spans="1:12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5"/>
    </row>
    <row r="201" spans="1:12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5"/>
    </row>
    <row r="202" spans="1:12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5"/>
    </row>
    <row r="205" spans="1:12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5"/>
    </row>
    <row r="206" spans="1:12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5"/>
    </row>
    <row r="207" spans="1:12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5"/>
    </row>
    <row r="209" spans="1:12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5"/>
    </row>
    <row r="210" spans="1:12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5"/>
    </row>
    <row r="211" spans="1:12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5"/>
    </row>
    <row r="212" spans="1:12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5"/>
    </row>
    <row r="213" spans="1:12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5"/>
    </row>
    <row r="214" ht="15">
      <c r="L214" s="16"/>
    </row>
    <row r="215" ht="15">
      <c r="L215" s="16"/>
    </row>
    <row r="216" ht="15">
      <c r="L216" s="16"/>
    </row>
    <row r="217" ht="15">
      <c r="L217" s="16"/>
    </row>
    <row r="218" ht="15">
      <c r="L218" s="16"/>
    </row>
    <row r="219" ht="15">
      <c r="L219" s="16"/>
    </row>
    <row r="220" ht="15">
      <c r="L220" s="16"/>
    </row>
    <row r="221" ht="15">
      <c r="L221" s="16"/>
    </row>
    <row r="222" ht="15">
      <c r="L222" s="16"/>
    </row>
    <row r="223" ht="15">
      <c r="L223" s="16"/>
    </row>
    <row r="224" ht="15">
      <c r="L224" s="16"/>
    </row>
    <row r="225" ht="15">
      <c r="L225" s="16"/>
    </row>
    <row r="226" ht="15">
      <c r="L226" s="16"/>
    </row>
    <row r="227" ht="15">
      <c r="L227" s="16"/>
    </row>
    <row r="228" ht="15">
      <c r="L228" s="16"/>
    </row>
    <row r="229" spans="1:12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5"/>
    </row>
    <row r="230" spans="1:12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5"/>
    </row>
    <row r="231" spans="1:12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5"/>
    </row>
    <row r="232" spans="1:12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5"/>
    </row>
    <row r="233" spans="1:12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5"/>
    </row>
    <row r="234" spans="1:12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5"/>
    </row>
    <row r="235" spans="1:12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5"/>
    </row>
    <row r="236" spans="1:12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</row>
    <row r="237" spans="1:12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47" spans="1:12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5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"/>
    </row>
    <row r="249" spans="1:12" ht="1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8"/>
    </row>
    <row r="295" spans="1:12" ht="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9" spans="1:12" ht="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</sheetData>
  <sheetProtection/>
  <mergeCells count="5">
    <mergeCell ref="A1:M1"/>
    <mergeCell ref="A2:M2"/>
    <mergeCell ref="A3:M3"/>
    <mergeCell ref="C4:M4"/>
    <mergeCell ref="A39:M39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8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zoomScale="85" zoomScaleNormal="85" zoomScalePageLayoutView="0" workbookViewId="0" topLeftCell="A1">
      <selection activeCell="L45" sqref="L45"/>
    </sheetView>
  </sheetViews>
  <sheetFormatPr defaultColWidth="11.421875" defaultRowHeight="12.75"/>
  <cols>
    <col min="1" max="1" width="11.421875" style="42" customWidth="1"/>
    <col min="2" max="2" width="11.7109375" style="42" bestFit="1" customWidth="1"/>
    <col min="3" max="4" width="15.00390625" style="42" bestFit="1" customWidth="1"/>
    <col min="5" max="5" width="12.140625" style="42" customWidth="1"/>
    <col min="6" max="6" width="11.7109375" style="42" bestFit="1" customWidth="1"/>
    <col min="7" max="8" width="15.00390625" style="42" bestFit="1" customWidth="1"/>
    <col min="9" max="9" width="12.140625" style="42" customWidth="1"/>
    <col min="10" max="10" width="11.7109375" style="42" bestFit="1" customWidth="1"/>
    <col min="11" max="11" width="15.00390625" style="42" bestFit="1" customWidth="1"/>
    <col min="12" max="12" width="17.57421875" style="42" bestFit="1" customWidth="1"/>
    <col min="13" max="16384" width="11.421875" style="42" customWidth="1"/>
  </cols>
  <sheetData>
    <row r="1" spans="1:12" ht="18">
      <c r="A1" s="445" t="s">
        <v>255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.75" customHeight="1" thickBot="1">
      <c r="A2" s="390" t="s">
        <v>472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5.75" customHeight="1">
      <c r="A3" s="260"/>
      <c r="B3" s="451" t="s">
        <v>121</v>
      </c>
      <c r="C3" s="451"/>
      <c r="D3" s="451"/>
      <c r="E3" s="364"/>
      <c r="F3" s="451" t="s">
        <v>22</v>
      </c>
      <c r="G3" s="451"/>
      <c r="H3" s="451"/>
      <c r="I3" s="364"/>
      <c r="J3" s="451" t="s">
        <v>21</v>
      </c>
      <c r="K3" s="451"/>
      <c r="L3" s="451"/>
    </row>
    <row r="4" spans="1:12" ht="15.75" customHeight="1">
      <c r="A4" s="221" t="s">
        <v>4</v>
      </c>
      <c r="B4" s="377" t="s">
        <v>253</v>
      </c>
      <c r="C4" s="377" t="s">
        <v>293</v>
      </c>
      <c r="D4" s="377" t="s">
        <v>294</v>
      </c>
      <c r="E4" s="377"/>
      <c r="F4" s="377" t="s">
        <v>253</v>
      </c>
      <c r="G4" s="377" t="s">
        <v>293</v>
      </c>
      <c r="H4" s="377" t="s">
        <v>294</v>
      </c>
      <c r="I4" s="377"/>
      <c r="J4" s="377" t="s">
        <v>253</v>
      </c>
      <c r="K4" s="377" t="s">
        <v>293</v>
      </c>
      <c r="L4" s="377" t="s">
        <v>294</v>
      </c>
    </row>
    <row r="5" spans="1:12" ht="15.75" customHeight="1">
      <c r="A5" s="216">
        <v>1997</v>
      </c>
      <c r="B5" s="219">
        <v>76.19</v>
      </c>
      <c r="C5" s="219">
        <v>21.6</v>
      </c>
      <c r="D5" s="219">
        <v>17.4</v>
      </c>
      <c r="E5" s="219"/>
      <c r="F5" s="219">
        <v>80.39</v>
      </c>
      <c r="G5" s="219">
        <v>24.42</v>
      </c>
      <c r="H5" s="219">
        <v>19.79</v>
      </c>
      <c r="I5" s="219"/>
      <c r="J5" s="219">
        <v>71.94</v>
      </c>
      <c r="K5" s="219">
        <v>18.49</v>
      </c>
      <c r="L5" s="219">
        <v>14.53</v>
      </c>
    </row>
    <row r="6" spans="1:12" ht="15.75" customHeight="1">
      <c r="A6" s="216">
        <v>1998</v>
      </c>
      <c r="B6" s="219">
        <v>77.9</v>
      </c>
      <c r="C6" s="219">
        <v>21.8</v>
      </c>
      <c r="D6" s="219">
        <v>17.8</v>
      </c>
      <c r="E6" s="219"/>
      <c r="F6" s="219">
        <v>82.12</v>
      </c>
      <c r="G6" s="219">
        <v>25.09</v>
      </c>
      <c r="H6" s="219">
        <v>20.67</v>
      </c>
      <c r="I6" s="219"/>
      <c r="J6" s="219">
        <v>73.6</v>
      </c>
      <c r="K6" s="219">
        <v>18.22</v>
      </c>
      <c r="L6" s="219">
        <v>14.49</v>
      </c>
    </row>
    <row r="7" spans="1:12" ht="15.75" customHeight="1">
      <c r="A7" s="216">
        <v>1999</v>
      </c>
      <c r="B7" s="219">
        <v>79.26</v>
      </c>
      <c r="C7" s="219">
        <v>22.3</v>
      </c>
      <c r="D7" s="219">
        <v>17.5</v>
      </c>
      <c r="E7" s="219"/>
      <c r="F7" s="219">
        <v>82.87</v>
      </c>
      <c r="G7" s="219">
        <v>24.62</v>
      </c>
      <c r="H7" s="219">
        <v>19.78</v>
      </c>
      <c r="I7" s="219"/>
      <c r="J7" s="219">
        <v>75.48</v>
      </c>
      <c r="K7" s="219">
        <v>19.52</v>
      </c>
      <c r="L7" s="219">
        <v>14.81</v>
      </c>
    </row>
    <row r="8" spans="1:12" ht="15.75" customHeight="1">
      <c r="A8" s="216">
        <v>2000</v>
      </c>
      <c r="B8" s="219">
        <v>77</v>
      </c>
      <c r="C8" s="219">
        <v>21</v>
      </c>
      <c r="D8" s="219">
        <v>17.5</v>
      </c>
      <c r="E8" s="219"/>
      <c r="F8" s="219">
        <v>79.9</v>
      </c>
      <c r="G8" s="219">
        <v>22.87</v>
      </c>
      <c r="H8" s="219">
        <v>19.47</v>
      </c>
      <c r="I8" s="219"/>
      <c r="J8" s="219">
        <v>73.94</v>
      </c>
      <c r="K8" s="219">
        <v>18.79</v>
      </c>
      <c r="L8" s="219">
        <v>15.23</v>
      </c>
    </row>
    <row r="9" spans="1:12" ht="15.75" customHeight="1">
      <c r="A9" s="216">
        <v>2001</v>
      </c>
      <c r="B9" s="219">
        <v>79.3</v>
      </c>
      <c r="C9" s="219">
        <v>22.3</v>
      </c>
      <c r="D9" s="219">
        <v>18.7</v>
      </c>
      <c r="E9" s="219"/>
      <c r="F9" s="219">
        <v>82.4</v>
      </c>
      <c r="G9" s="219">
        <v>24.29</v>
      </c>
      <c r="H9" s="219">
        <v>19.93</v>
      </c>
      <c r="I9" s="219"/>
      <c r="J9" s="219">
        <v>76.26</v>
      </c>
      <c r="K9" s="219">
        <v>20.24</v>
      </c>
      <c r="L9" s="219">
        <v>17.29</v>
      </c>
    </row>
    <row r="10" spans="1:19" ht="15.75" customHeight="1">
      <c r="A10" s="216">
        <v>2002</v>
      </c>
      <c r="B10" s="219">
        <v>79.8</v>
      </c>
      <c r="C10" s="219">
        <v>22.8</v>
      </c>
      <c r="D10" s="219">
        <v>19.2</v>
      </c>
      <c r="E10" s="219"/>
      <c r="F10" s="219">
        <v>82.28</v>
      </c>
      <c r="G10" s="219">
        <v>25.21</v>
      </c>
      <c r="H10" s="219">
        <v>20.93</v>
      </c>
      <c r="I10" s="219"/>
      <c r="J10" s="219">
        <v>77.07</v>
      </c>
      <c r="K10" s="219">
        <v>20.07</v>
      </c>
      <c r="L10" s="219">
        <v>16.97</v>
      </c>
      <c r="M10" s="224"/>
      <c r="N10" s="224"/>
      <c r="O10" s="224"/>
      <c r="P10" s="224"/>
      <c r="S10" s="224"/>
    </row>
    <row r="11" spans="1:12" ht="15.75" customHeight="1">
      <c r="A11" s="216">
        <v>2003</v>
      </c>
      <c r="B11" s="219">
        <v>80.1</v>
      </c>
      <c r="C11" s="219">
        <v>22.9</v>
      </c>
      <c r="D11" s="219">
        <v>18.9</v>
      </c>
      <c r="E11" s="219"/>
      <c r="F11" s="219">
        <v>81.64</v>
      </c>
      <c r="G11" s="219">
        <v>24.76</v>
      </c>
      <c r="H11" s="219">
        <v>20.57</v>
      </c>
      <c r="I11" s="219"/>
      <c r="J11" s="219">
        <v>78.37</v>
      </c>
      <c r="K11" s="219">
        <v>20.81</v>
      </c>
      <c r="L11" s="219">
        <v>17.04</v>
      </c>
    </row>
    <row r="12" spans="1:12" ht="15.75" customHeight="1">
      <c r="A12" s="216">
        <v>2004</v>
      </c>
      <c r="B12" s="219">
        <v>82</v>
      </c>
      <c r="C12" s="219">
        <v>24.8</v>
      </c>
      <c r="D12" s="219">
        <v>20.8</v>
      </c>
      <c r="E12" s="219"/>
      <c r="F12" s="219">
        <v>85.09</v>
      </c>
      <c r="G12" s="219">
        <v>26.93</v>
      </c>
      <c r="H12" s="219">
        <v>23.03</v>
      </c>
      <c r="I12" s="219"/>
      <c r="J12" s="219">
        <v>78.6</v>
      </c>
      <c r="K12" s="219">
        <v>22.16</v>
      </c>
      <c r="L12" s="219">
        <v>18.02</v>
      </c>
    </row>
    <row r="13" spans="1:12" ht="15.75" customHeight="1">
      <c r="A13" s="216">
        <v>2005</v>
      </c>
      <c r="B13" s="219">
        <v>80.7</v>
      </c>
      <c r="C13" s="219">
        <v>24.1</v>
      </c>
      <c r="D13" s="219">
        <v>20</v>
      </c>
      <c r="E13" s="219"/>
      <c r="F13" s="219">
        <v>84.09</v>
      </c>
      <c r="G13" s="219">
        <v>26.08</v>
      </c>
      <c r="H13" s="219">
        <v>21.57</v>
      </c>
      <c r="I13" s="219"/>
      <c r="J13" s="219">
        <v>77.37</v>
      </c>
      <c r="K13" s="219">
        <v>22.04</v>
      </c>
      <c r="L13" s="219">
        <v>18.19</v>
      </c>
    </row>
    <row r="14" spans="1:12" ht="15.75" customHeight="1">
      <c r="A14" s="216">
        <v>2006</v>
      </c>
      <c r="B14" s="219">
        <v>81</v>
      </c>
      <c r="C14" s="219">
        <v>23.6</v>
      </c>
      <c r="D14" s="219">
        <v>19.6</v>
      </c>
      <c r="E14" s="219"/>
      <c r="F14" s="219">
        <v>83.12</v>
      </c>
      <c r="G14" s="219">
        <v>24.74</v>
      </c>
      <c r="H14" s="219">
        <v>20.69</v>
      </c>
      <c r="I14" s="219"/>
      <c r="J14" s="219">
        <v>78.91</v>
      </c>
      <c r="K14" s="219">
        <v>22.26</v>
      </c>
      <c r="L14" s="219">
        <v>18.4</v>
      </c>
    </row>
    <row r="15" spans="1:12" ht="15.75" customHeight="1">
      <c r="A15" s="216">
        <v>2007</v>
      </c>
      <c r="B15" s="219">
        <v>81.4</v>
      </c>
      <c r="C15" s="219">
        <v>23.3</v>
      </c>
      <c r="D15" s="219">
        <v>19</v>
      </c>
      <c r="E15" s="219"/>
      <c r="F15" s="219">
        <v>83.57</v>
      </c>
      <c r="G15" s="219">
        <v>25.6</v>
      </c>
      <c r="H15" s="219">
        <v>21.12</v>
      </c>
      <c r="I15" s="219"/>
      <c r="J15" s="219">
        <v>79.1</v>
      </c>
      <c r="K15" s="219">
        <v>20.74</v>
      </c>
      <c r="L15" s="219">
        <v>16.73</v>
      </c>
    </row>
    <row r="16" spans="1:12" ht="15.75" customHeight="1">
      <c r="A16" s="216">
        <v>2008</v>
      </c>
      <c r="B16" s="219">
        <v>82.9</v>
      </c>
      <c r="C16" s="219">
        <v>25</v>
      </c>
      <c r="D16" s="219">
        <v>20.6</v>
      </c>
      <c r="E16" s="219"/>
      <c r="F16" s="219">
        <v>85.5</v>
      </c>
      <c r="G16" s="219">
        <v>26.88</v>
      </c>
      <c r="H16" s="219">
        <v>22.3</v>
      </c>
      <c r="I16" s="219"/>
      <c r="J16" s="219">
        <v>79.99</v>
      </c>
      <c r="K16" s="219">
        <v>22.7</v>
      </c>
      <c r="L16" s="219">
        <v>18.49</v>
      </c>
    </row>
    <row r="17" spans="1:12" ht="15.75" customHeight="1">
      <c r="A17" s="216">
        <v>2009</v>
      </c>
      <c r="B17" s="219">
        <v>81.7</v>
      </c>
      <c r="C17" s="219">
        <v>24.5</v>
      </c>
      <c r="D17" s="219">
        <v>20.4</v>
      </c>
      <c r="E17" s="219"/>
      <c r="F17" s="219">
        <v>83.6</v>
      </c>
      <c r="G17" s="219">
        <v>26.3</v>
      </c>
      <c r="H17" s="219">
        <v>22</v>
      </c>
      <c r="I17" s="219"/>
      <c r="J17" s="219">
        <v>79.5</v>
      </c>
      <c r="K17" s="219">
        <v>22.3</v>
      </c>
      <c r="L17" s="219">
        <v>18.4</v>
      </c>
    </row>
    <row r="18" spans="1:12" ht="15.75" customHeight="1">
      <c r="A18" s="216">
        <v>2010</v>
      </c>
      <c r="B18" s="219">
        <v>81.8</v>
      </c>
      <c r="C18" s="219">
        <v>24.6</v>
      </c>
      <c r="D18" s="219">
        <v>20.7</v>
      </c>
      <c r="E18" s="219"/>
      <c r="F18" s="219">
        <v>84.3</v>
      </c>
      <c r="G18" s="219">
        <v>26.4</v>
      </c>
      <c r="H18" s="219">
        <v>21.8</v>
      </c>
      <c r="I18" s="219"/>
      <c r="J18" s="219">
        <v>79.5</v>
      </c>
      <c r="K18" s="219">
        <v>23.1</v>
      </c>
      <c r="L18" s="219">
        <v>19.6</v>
      </c>
    </row>
    <row r="19" spans="1:12" ht="15.75" customHeight="1">
      <c r="A19" s="216">
        <v>2011</v>
      </c>
      <c r="B19" s="219">
        <v>81.9</v>
      </c>
      <c r="C19" s="219">
        <v>24</v>
      </c>
      <c r="D19" s="219">
        <v>19.9</v>
      </c>
      <c r="E19" s="219"/>
      <c r="F19" s="219">
        <v>84.2</v>
      </c>
      <c r="G19" s="219">
        <v>25.9</v>
      </c>
      <c r="H19" s="219">
        <v>21.8</v>
      </c>
      <c r="I19" s="219"/>
      <c r="J19" s="219">
        <v>79.5</v>
      </c>
      <c r="K19" s="219">
        <v>21.9</v>
      </c>
      <c r="L19" s="219">
        <v>17.9</v>
      </c>
    </row>
    <row r="20" spans="1:12" ht="15.75" customHeight="1">
      <c r="A20" s="216">
        <v>2012</v>
      </c>
      <c r="B20" s="219">
        <v>82.45</v>
      </c>
      <c r="C20" s="219">
        <v>25.5</v>
      </c>
      <c r="D20" s="219">
        <v>21.3</v>
      </c>
      <c r="E20" s="219"/>
      <c r="F20" s="219">
        <v>85.2</v>
      </c>
      <c r="G20" s="219">
        <v>27.6</v>
      </c>
      <c r="H20" s="219">
        <v>23.5</v>
      </c>
      <c r="I20" s="219"/>
      <c r="J20" s="219">
        <v>79.7</v>
      </c>
      <c r="K20" s="219">
        <v>23.1</v>
      </c>
      <c r="L20" s="219">
        <v>18.8</v>
      </c>
    </row>
    <row r="21" spans="1:12" ht="15.75" customHeight="1">
      <c r="A21" s="216">
        <v>2013</v>
      </c>
      <c r="B21" s="219">
        <v>82.5</v>
      </c>
      <c r="C21" s="219">
        <v>24.8</v>
      </c>
      <c r="D21" s="219">
        <v>20.6</v>
      </c>
      <c r="E21" s="219"/>
      <c r="F21" s="219">
        <v>83.9</v>
      </c>
      <c r="G21" s="219">
        <v>26.4</v>
      </c>
      <c r="H21" s="219">
        <v>22</v>
      </c>
      <c r="I21" s="219"/>
      <c r="J21" s="219">
        <v>80.7</v>
      </c>
      <c r="K21" s="219">
        <v>23</v>
      </c>
      <c r="L21" s="219">
        <v>18.9</v>
      </c>
    </row>
    <row r="22" spans="1:12" ht="15.75" customHeight="1">
      <c r="A22" s="216">
        <v>2014</v>
      </c>
      <c r="B22" s="219">
        <v>82.1</v>
      </c>
      <c r="C22" s="219">
        <v>24.4</v>
      </c>
      <c r="D22" s="219">
        <v>19.9</v>
      </c>
      <c r="E22" s="219"/>
      <c r="F22" s="219">
        <v>83.2</v>
      </c>
      <c r="G22" s="219">
        <v>25.2</v>
      </c>
      <c r="H22" s="219">
        <v>20.7</v>
      </c>
      <c r="I22" s="219"/>
      <c r="J22" s="219">
        <v>81</v>
      </c>
      <c r="K22" s="219">
        <v>23.5</v>
      </c>
      <c r="L22" s="219">
        <v>19.1</v>
      </c>
    </row>
    <row r="23" spans="1:12" ht="15.75" customHeight="1">
      <c r="A23" s="216">
        <v>2015</v>
      </c>
      <c r="B23" s="219">
        <v>82.7</v>
      </c>
      <c r="C23" s="219">
        <v>25</v>
      </c>
      <c r="D23" s="219">
        <v>20.7</v>
      </c>
      <c r="E23" s="219"/>
      <c r="F23" s="219">
        <v>84.5</v>
      </c>
      <c r="G23" s="219">
        <v>26.3</v>
      </c>
      <c r="H23" s="219">
        <v>22</v>
      </c>
      <c r="I23" s="219"/>
      <c r="J23" s="219">
        <v>80.9</v>
      </c>
      <c r="K23" s="219">
        <v>23.6</v>
      </c>
      <c r="L23" s="219">
        <v>19.2</v>
      </c>
    </row>
    <row r="24" spans="1:12" ht="15.75" customHeight="1">
      <c r="A24" s="216">
        <v>2016</v>
      </c>
      <c r="B24" s="219">
        <v>82.3</v>
      </c>
      <c r="C24" s="219">
        <v>24.4</v>
      </c>
      <c r="D24" s="219">
        <v>20.3</v>
      </c>
      <c r="E24" s="219"/>
      <c r="F24" s="219">
        <v>84</v>
      </c>
      <c r="G24" s="219">
        <v>27</v>
      </c>
      <c r="H24" s="219">
        <v>22.6</v>
      </c>
      <c r="I24" s="219"/>
      <c r="J24" s="219">
        <v>80.6</v>
      </c>
      <c r="K24" s="219">
        <v>21.9</v>
      </c>
      <c r="L24" s="219">
        <v>18.1</v>
      </c>
    </row>
    <row r="25" spans="1:12" ht="15.75" customHeight="1">
      <c r="A25" s="216">
        <v>2017</v>
      </c>
      <c r="B25" s="219">
        <v>83.7</v>
      </c>
      <c r="C25" s="219">
        <v>25.7</v>
      </c>
      <c r="D25" s="219">
        <v>21.6</v>
      </c>
      <c r="E25" s="219"/>
      <c r="F25" s="219">
        <v>86</v>
      </c>
      <c r="G25" s="219">
        <v>26.9</v>
      </c>
      <c r="H25" s="219">
        <v>22.9</v>
      </c>
      <c r="I25" s="219"/>
      <c r="J25" s="219">
        <v>81.6</v>
      </c>
      <c r="K25" s="219">
        <v>24.6</v>
      </c>
      <c r="L25" s="219">
        <v>20.4</v>
      </c>
    </row>
    <row r="26" spans="1:12" ht="15.75" customHeight="1" thickBot="1">
      <c r="A26" s="223">
        <v>2018</v>
      </c>
      <c r="B26" s="225">
        <v>83.1</v>
      </c>
      <c r="C26" s="225">
        <v>25.1</v>
      </c>
      <c r="D26" s="225">
        <v>20.5</v>
      </c>
      <c r="E26" s="225"/>
      <c r="F26" s="225">
        <v>85.5</v>
      </c>
      <c r="G26" s="225">
        <v>26.5</v>
      </c>
      <c r="H26" s="225">
        <v>21.9</v>
      </c>
      <c r="I26" s="225"/>
      <c r="J26" s="225">
        <v>80.7</v>
      </c>
      <c r="K26" s="225">
        <v>23.7</v>
      </c>
      <c r="L26" s="225">
        <v>19</v>
      </c>
    </row>
    <row r="27" spans="1:12" ht="15.75" customHeight="1">
      <c r="A27" s="391" t="s">
        <v>635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</row>
    <row r="28" spans="1:12" ht="15.75" customHeight="1">
      <c r="A28" s="440" t="s">
        <v>254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</row>
    <row r="29" spans="1:12" ht="15.7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0" spans="1:12" ht="15.75" customHeight="1">
      <c r="A30" s="457" t="s">
        <v>202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</row>
    <row r="31" spans="1:12" ht="15.75" customHeight="1">
      <c r="A31" s="456" t="s">
        <v>66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</row>
    <row r="32" spans="1:12" ht="15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</row>
  </sheetData>
  <sheetProtection/>
  <mergeCells count="10">
    <mergeCell ref="A27:L27"/>
    <mergeCell ref="A30:L30"/>
    <mergeCell ref="A31:L31"/>
    <mergeCell ref="A32:L32"/>
    <mergeCell ref="A1:L1"/>
    <mergeCell ref="F3:H3"/>
    <mergeCell ref="J3:L3"/>
    <mergeCell ref="A2:L2"/>
    <mergeCell ref="B3:D3"/>
    <mergeCell ref="A28:L28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scale="80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="85" zoomScaleNormal="85" zoomScalePageLayoutView="0" workbookViewId="0" topLeftCell="A1">
      <selection activeCell="H42" sqref="H42"/>
    </sheetView>
  </sheetViews>
  <sheetFormatPr defaultColWidth="11.421875" defaultRowHeight="12.75"/>
  <cols>
    <col min="1" max="1" width="20.8515625" style="55" bestFit="1" customWidth="1"/>
    <col min="2" max="2" width="7.57421875" style="55" customWidth="1"/>
    <col min="3" max="6" width="9.7109375" style="55" customWidth="1"/>
    <col min="7" max="16384" width="11.421875" style="55" customWidth="1"/>
  </cols>
  <sheetData>
    <row r="1" spans="1:12" ht="18">
      <c r="A1" s="458" t="s">
        <v>304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3" ht="15.75" customHeight="1" thickBot="1">
      <c r="A2" s="390" t="s">
        <v>473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 customHeight="1">
      <c r="A3" s="381" t="s">
        <v>198</v>
      </c>
      <c r="B3" s="381">
        <v>2000</v>
      </c>
      <c r="C3" s="381">
        <v>2005</v>
      </c>
      <c r="D3" s="381">
        <v>2010</v>
      </c>
      <c r="E3" s="381">
        <v>2011</v>
      </c>
      <c r="F3" s="381">
        <v>2012</v>
      </c>
      <c r="G3" s="381">
        <v>2013</v>
      </c>
      <c r="H3" s="381">
        <v>2014</v>
      </c>
      <c r="I3" s="381">
        <v>2015</v>
      </c>
      <c r="J3" s="381">
        <v>2016</v>
      </c>
      <c r="K3" s="381">
        <v>2017</v>
      </c>
      <c r="L3" s="381">
        <v>2018</v>
      </c>
      <c r="M3" s="381">
        <v>2019</v>
      </c>
    </row>
    <row r="4" spans="1:13" ht="15.75" customHeight="1">
      <c r="A4" s="226" t="s">
        <v>134</v>
      </c>
      <c r="B4" s="227">
        <f aca="true" t="shared" si="0" ref="B4:L4">B22+B13</f>
        <v>32863</v>
      </c>
      <c r="C4" s="227">
        <f t="shared" si="0"/>
        <v>34905</v>
      </c>
      <c r="D4" s="227">
        <f t="shared" si="0"/>
        <v>36149</v>
      </c>
      <c r="E4" s="227">
        <f t="shared" si="0"/>
        <v>36475</v>
      </c>
      <c r="F4" s="227">
        <f t="shared" si="0"/>
        <v>36838</v>
      </c>
      <c r="G4" s="227">
        <f t="shared" si="0"/>
        <v>37129</v>
      </c>
      <c r="H4" s="227">
        <f t="shared" si="0"/>
        <v>37366</v>
      </c>
      <c r="I4" s="227">
        <f t="shared" si="0"/>
        <v>37622</v>
      </c>
      <c r="J4" s="227">
        <f t="shared" si="0"/>
        <v>37810</v>
      </c>
      <c r="K4" s="227">
        <f t="shared" si="0"/>
        <v>38114</v>
      </c>
      <c r="L4" s="228">
        <f t="shared" si="0"/>
        <v>38378</v>
      </c>
      <c r="M4" s="228">
        <f aca="true" t="shared" si="1" ref="M4:M10">M22+M13</f>
        <v>38747</v>
      </c>
    </row>
    <row r="5" spans="1:13" ht="15.75" customHeight="1">
      <c r="A5" s="229" t="s">
        <v>140</v>
      </c>
      <c r="B5" s="229">
        <f aca="true" t="shared" si="2" ref="B5:L5">B23+B14</f>
        <v>14560</v>
      </c>
      <c r="C5" s="229">
        <f t="shared" si="2"/>
        <v>15170</v>
      </c>
      <c r="D5" s="229">
        <f t="shared" si="2"/>
        <v>15535</v>
      </c>
      <c r="E5" s="229">
        <f t="shared" si="2"/>
        <v>15652</v>
      </c>
      <c r="F5" s="229">
        <f t="shared" si="2"/>
        <v>15708</v>
      </c>
      <c r="G5" s="229">
        <f t="shared" si="2"/>
        <v>15730</v>
      </c>
      <c r="H5" s="229">
        <f t="shared" si="2"/>
        <v>15767</v>
      </c>
      <c r="I5" s="229">
        <f t="shared" si="2"/>
        <v>15789</v>
      </c>
      <c r="J5" s="229">
        <f t="shared" si="2"/>
        <v>15863</v>
      </c>
      <c r="K5" s="229">
        <f t="shared" si="2"/>
        <v>15900</v>
      </c>
      <c r="L5" s="230">
        <f t="shared" si="2"/>
        <v>15943</v>
      </c>
      <c r="M5" s="230">
        <f t="shared" si="1"/>
        <v>16053</v>
      </c>
    </row>
    <row r="6" spans="1:13" ht="15.75" customHeight="1">
      <c r="A6" s="229" t="s">
        <v>141</v>
      </c>
      <c r="B6" s="229">
        <f aca="true" t="shared" si="3" ref="B6:L6">B24+B15</f>
        <v>14978</v>
      </c>
      <c r="C6" s="229">
        <f t="shared" si="3"/>
        <v>16009</v>
      </c>
      <c r="D6" s="229">
        <f t="shared" si="3"/>
        <v>16346</v>
      </c>
      <c r="E6" s="229">
        <f t="shared" si="3"/>
        <v>16439</v>
      </c>
      <c r="F6" s="229">
        <f t="shared" si="3"/>
        <v>16625</v>
      </c>
      <c r="G6" s="229">
        <f t="shared" si="3"/>
        <v>16802</v>
      </c>
      <c r="H6" s="229">
        <f t="shared" si="3"/>
        <v>16957</v>
      </c>
      <c r="I6" s="229">
        <f t="shared" si="3"/>
        <v>17066</v>
      </c>
      <c r="J6" s="229">
        <f t="shared" si="3"/>
        <v>17125</v>
      </c>
      <c r="K6" s="229">
        <f t="shared" si="3"/>
        <v>17303</v>
      </c>
      <c r="L6" s="230">
        <f t="shared" si="3"/>
        <v>17493</v>
      </c>
      <c r="M6" s="230">
        <f t="shared" si="1"/>
        <v>17692</v>
      </c>
    </row>
    <row r="7" spans="1:13" ht="15.75" customHeight="1">
      <c r="A7" s="229" t="s">
        <v>142</v>
      </c>
      <c r="B7" s="229">
        <f aca="true" t="shared" si="4" ref="B7:L7">B25+B16</f>
        <v>1510</v>
      </c>
      <c r="C7" s="229">
        <f t="shared" si="4"/>
        <v>1529</v>
      </c>
      <c r="D7" s="229">
        <f t="shared" si="4"/>
        <v>1602</v>
      </c>
      <c r="E7" s="229">
        <f t="shared" si="4"/>
        <v>1635</v>
      </c>
      <c r="F7" s="229">
        <f t="shared" si="4"/>
        <v>1660</v>
      </c>
      <c r="G7" s="229">
        <f t="shared" si="4"/>
        <v>1693</v>
      </c>
      <c r="H7" s="229">
        <f t="shared" si="4"/>
        <v>1685</v>
      </c>
      <c r="I7" s="229">
        <f t="shared" si="4"/>
        <v>1702</v>
      </c>
      <c r="J7" s="229">
        <f t="shared" si="4"/>
        <v>1717</v>
      </c>
      <c r="K7" s="229">
        <f t="shared" si="4"/>
        <v>1724</v>
      </c>
      <c r="L7" s="230">
        <f t="shared" si="4"/>
        <v>1726</v>
      </c>
      <c r="M7" s="230">
        <f t="shared" si="1"/>
        <v>1726</v>
      </c>
    </row>
    <row r="8" spans="1:13" ht="15.75" customHeight="1">
      <c r="A8" s="229" t="s">
        <v>143</v>
      </c>
      <c r="B8" s="229">
        <f aca="true" t="shared" si="5" ref="B8:L8">B26+B17</f>
        <v>271</v>
      </c>
      <c r="C8" s="229">
        <f t="shared" si="5"/>
        <v>113</v>
      </c>
      <c r="D8" s="229">
        <f t="shared" si="5"/>
        <v>98</v>
      </c>
      <c r="E8" s="229">
        <f t="shared" si="5"/>
        <v>86</v>
      </c>
      <c r="F8" s="229">
        <f t="shared" si="5"/>
        <v>83</v>
      </c>
      <c r="G8" s="229">
        <f t="shared" si="5"/>
        <v>91</v>
      </c>
      <c r="H8" s="229">
        <f t="shared" si="5"/>
        <v>95</v>
      </c>
      <c r="I8" s="229">
        <f t="shared" si="5"/>
        <v>89</v>
      </c>
      <c r="J8" s="229">
        <f t="shared" si="5"/>
        <v>76</v>
      </c>
      <c r="K8" s="229">
        <f t="shared" si="5"/>
        <v>71</v>
      </c>
      <c r="L8" s="230">
        <f t="shared" si="5"/>
        <v>67</v>
      </c>
      <c r="M8" s="230">
        <f t="shared" si="1"/>
        <v>64</v>
      </c>
    </row>
    <row r="9" spans="1:13" ht="15.75" customHeight="1">
      <c r="A9" s="229" t="s">
        <v>144</v>
      </c>
      <c r="B9" s="229">
        <f aca="true" t="shared" si="6" ref="B9:L9">B27+B18</f>
        <v>1544</v>
      </c>
      <c r="C9" s="229">
        <f t="shared" si="6"/>
        <v>2084</v>
      </c>
      <c r="D9" s="229">
        <f t="shared" si="6"/>
        <v>2568</v>
      </c>
      <c r="E9" s="229">
        <f t="shared" si="6"/>
        <v>2645</v>
      </c>
      <c r="F9" s="229">
        <f t="shared" si="6"/>
        <v>2738</v>
      </c>
      <c r="G9" s="229">
        <f t="shared" si="6"/>
        <v>2783</v>
      </c>
      <c r="H9" s="229">
        <f t="shared" si="6"/>
        <v>2831</v>
      </c>
      <c r="I9" s="229">
        <f t="shared" si="6"/>
        <v>2944</v>
      </c>
      <c r="J9" s="229">
        <f t="shared" si="6"/>
        <v>2993</v>
      </c>
      <c r="K9" s="229">
        <f t="shared" si="6"/>
        <v>3073</v>
      </c>
      <c r="L9" s="230">
        <f t="shared" si="6"/>
        <v>3103</v>
      </c>
      <c r="M9" s="230">
        <f t="shared" si="1"/>
        <v>3156</v>
      </c>
    </row>
    <row r="10" spans="1:13" ht="15.75" customHeight="1">
      <c r="A10" s="229" t="s">
        <v>271</v>
      </c>
      <c r="B10" s="231" t="s">
        <v>11</v>
      </c>
      <c r="C10" s="231" t="s">
        <v>11</v>
      </c>
      <c r="D10" s="231" t="s">
        <v>11</v>
      </c>
      <c r="E10" s="231">
        <f aca="true" t="shared" si="7" ref="E10:L10">E28+E19</f>
        <v>18</v>
      </c>
      <c r="F10" s="229">
        <f t="shared" si="7"/>
        <v>23</v>
      </c>
      <c r="G10" s="229">
        <f t="shared" si="7"/>
        <v>28</v>
      </c>
      <c r="H10" s="229">
        <f t="shared" si="7"/>
        <v>28</v>
      </c>
      <c r="I10" s="229">
        <f t="shared" si="7"/>
        <v>29</v>
      </c>
      <c r="J10" s="229">
        <f t="shared" si="7"/>
        <v>32</v>
      </c>
      <c r="K10" s="229">
        <f t="shared" si="7"/>
        <v>38</v>
      </c>
      <c r="L10" s="230">
        <f t="shared" si="7"/>
        <v>41</v>
      </c>
      <c r="M10" s="230">
        <f t="shared" si="1"/>
        <v>52</v>
      </c>
    </row>
    <row r="11" spans="1:13" ht="15.75" customHeight="1">
      <c r="A11" s="229" t="s">
        <v>313</v>
      </c>
      <c r="B11" s="231" t="s">
        <v>11</v>
      </c>
      <c r="C11" s="231" t="s">
        <v>11</v>
      </c>
      <c r="D11" s="231" t="s">
        <v>11</v>
      </c>
      <c r="E11" s="51">
        <v>0</v>
      </c>
      <c r="F11" s="51">
        <v>0</v>
      </c>
      <c r="G11" s="51">
        <v>0</v>
      </c>
      <c r="H11" s="232">
        <f>+H20</f>
        <v>1</v>
      </c>
      <c r="I11" s="229">
        <f>+I20</f>
        <v>1</v>
      </c>
      <c r="J11" s="229">
        <f>+J20</f>
        <v>2</v>
      </c>
      <c r="K11" s="229">
        <f>+K20</f>
        <v>2</v>
      </c>
      <c r="L11" s="230">
        <f>+L20+L29</f>
        <v>3</v>
      </c>
      <c r="M11" s="230">
        <f>+M20+M29</f>
        <v>2</v>
      </c>
    </row>
    <row r="12" spans="1:13" ht="15.75" customHeight="1">
      <c r="A12" s="229" t="s">
        <v>286</v>
      </c>
      <c r="B12" s="231" t="s">
        <v>11</v>
      </c>
      <c r="C12" s="231" t="s">
        <v>11</v>
      </c>
      <c r="D12" s="231" t="s">
        <v>11</v>
      </c>
      <c r="E12" s="51">
        <v>0</v>
      </c>
      <c r="F12" s="229">
        <f>+F21</f>
        <v>1</v>
      </c>
      <c r="G12" s="229">
        <f aca="true" t="shared" si="8" ref="G12:L12">G30+G21</f>
        <v>2</v>
      </c>
      <c r="H12" s="229">
        <f t="shared" si="8"/>
        <v>2</v>
      </c>
      <c r="I12" s="229">
        <f t="shared" si="8"/>
        <v>2</v>
      </c>
      <c r="J12" s="229">
        <f t="shared" si="8"/>
        <v>2</v>
      </c>
      <c r="K12" s="229">
        <f t="shared" si="8"/>
        <v>3</v>
      </c>
      <c r="L12" s="230">
        <f t="shared" si="8"/>
        <v>2</v>
      </c>
      <c r="M12" s="230">
        <f>M30+M21</f>
        <v>2</v>
      </c>
    </row>
    <row r="13" spans="1:13" ht="15.75" customHeight="1">
      <c r="A13" s="227" t="s">
        <v>289</v>
      </c>
      <c r="B13" s="227">
        <v>16825</v>
      </c>
      <c r="C13" s="227">
        <v>17701</v>
      </c>
      <c r="D13" s="227">
        <v>18263</v>
      </c>
      <c r="E13" s="227">
        <v>18433</v>
      </c>
      <c r="F13" s="227">
        <v>18591</v>
      </c>
      <c r="G13" s="227">
        <v>18729</v>
      </c>
      <c r="H13" s="227">
        <f aca="true" t="shared" si="9" ref="H13:M13">SUM(H14:H21)</f>
        <v>18813</v>
      </c>
      <c r="I13" s="227">
        <f t="shared" si="9"/>
        <v>18962</v>
      </c>
      <c r="J13" s="227">
        <f t="shared" si="9"/>
        <v>19064</v>
      </c>
      <c r="K13" s="227">
        <f t="shared" si="9"/>
        <v>19224</v>
      </c>
      <c r="L13" s="228">
        <f t="shared" si="9"/>
        <v>19353</v>
      </c>
      <c r="M13" s="228">
        <f t="shared" si="9"/>
        <v>19532</v>
      </c>
    </row>
    <row r="14" spans="1:13" ht="15.75" customHeight="1">
      <c r="A14" s="229" t="s">
        <v>140</v>
      </c>
      <c r="B14" s="229">
        <v>7070</v>
      </c>
      <c r="C14" s="229">
        <v>7245</v>
      </c>
      <c r="D14" s="229">
        <v>7356</v>
      </c>
      <c r="E14" s="229">
        <v>7406</v>
      </c>
      <c r="F14" s="229">
        <v>7404</v>
      </c>
      <c r="G14" s="229">
        <v>7408</v>
      </c>
      <c r="H14" s="229">
        <v>7398</v>
      </c>
      <c r="I14" s="229">
        <v>7429</v>
      </c>
      <c r="J14" s="229">
        <v>7461</v>
      </c>
      <c r="K14" s="229">
        <v>7482</v>
      </c>
      <c r="L14" s="229">
        <v>7483</v>
      </c>
      <c r="M14" s="229">
        <v>7527</v>
      </c>
    </row>
    <row r="15" spans="1:13" ht="15.75" customHeight="1">
      <c r="A15" s="229" t="s">
        <v>141</v>
      </c>
      <c r="B15" s="229">
        <v>7423</v>
      </c>
      <c r="C15" s="229">
        <v>7910</v>
      </c>
      <c r="D15" s="229">
        <v>8074</v>
      </c>
      <c r="E15" s="229">
        <v>8129</v>
      </c>
      <c r="F15" s="229">
        <v>8225</v>
      </c>
      <c r="G15" s="229">
        <v>8308</v>
      </c>
      <c r="H15" s="229">
        <v>8382</v>
      </c>
      <c r="I15" s="229">
        <f>8436+1</f>
        <v>8437</v>
      </c>
      <c r="J15" s="229">
        <f>8453+1</f>
        <v>8454</v>
      </c>
      <c r="K15" s="229">
        <f>8540+1</f>
        <v>8541</v>
      </c>
      <c r="L15" s="229">
        <f>8637+1</f>
        <v>8638</v>
      </c>
      <c r="M15" s="229">
        <v>8752</v>
      </c>
    </row>
    <row r="16" spans="1:13" ht="15.75" customHeight="1">
      <c r="A16" s="229" t="s">
        <v>142</v>
      </c>
      <c r="B16" s="229">
        <v>1305</v>
      </c>
      <c r="C16" s="229">
        <v>1303</v>
      </c>
      <c r="D16" s="229">
        <v>1344</v>
      </c>
      <c r="E16" s="229">
        <v>1365</v>
      </c>
      <c r="F16" s="229">
        <v>1384</v>
      </c>
      <c r="G16" s="229">
        <v>1409</v>
      </c>
      <c r="H16" s="229">
        <f>1396</f>
        <v>1396</v>
      </c>
      <c r="I16" s="230">
        <v>1401</v>
      </c>
      <c r="J16" s="230">
        <v>1417</v>
      </c>
      <c r="K16" s="230">
        <v>1424</v>
      </c>
      <c r="L16" s="230">
        <v>1427</v>
      </c>
      <c r="M16" s="230">
        <v>1420</v>
      </c>
    </row>
    <row r="17" spans="1:13" ht="15.75" customHeight="1">
      <c r="A17" s="229" t="s">
        <v>143</v>
      </c>
      <c r="B17" s="229">
        <v>137</v>
      </c>
      <c r="C17" s="229">
        <v>56</v>
      </c>
      <c r="D17" s="229">
        <v>46</v>
      </c>
      <c r="E17" s="229">
        <v>40</v>
      </c>
      <c r="F17" s="229">
        <v>37</v>
      </c>
      <c r="G17" s="229">
        <v>40</v>
      </c>
      <c r="H17" s="229">
        <v>41</v>
      </c>
      <c r="I17" s="229">
        <v>39</v>
      </c>
      <c r="J17" s="229">
        <v>33</v>
      </c>
      <c r="K17" s="229">
        <v>32</v>
      </c>
      <c r="L17" s="229">
        <v>30</v>
      </c>
      <c r="M17" s="229">
        <v>28</v>
      </c>
    </row>
    <row r="18" spans="1:13" ht="15.75" customHeight="1">
      <c r="A18" s="229" t="s">
        <v>144</v>
      </c>
      <c r="B18" s="229">
        <v>890</v>
      </c>
      <c r="C18" s="229">
        <v>1187</v>
      </c>
      <c r="D18" s="229">
        <v>1443</v>
      </c>
      <c r="E18" s="229">
        <v>1483</v>
      </c>
      <c r="F18" s="229">
        <v>1532</v>
      </c>
      <c r="G18" s="229">
        <v>1553</v>
      </c>
      <c r="H18" s="229">
        <v>1584</v>
      </c>
      <c r="I18" s="229">
        <v>1644</v>
      </c>
      <c r="J18" s="229">
        <v>1684</v>
      </c>
      <c r="K18" s="229">
        <v>1728</v>
      </c>
      <c r="L18" s="229">
        <v>1756</v>
      </c>
      <c r="M18" s="229">
        <v>1782</v>
      </c>
    </row>
    <row r="19" spans="1:13" ht="15.75" customHeight="1">
      <c r="A19" s="229" t="s">
        <v>271</v>
      </c>
      <c r="B19" s="231" t="s">
        <v>11</v>
      </c>
      <c r="C19" s="231" t="s">
        <v>11</v>
      </c>
      <c r="D19" s="231" t="s">
        <v>11</v>
      </c>
      <c r="E19" s="231">
        <v>10</v>
      </c>
      <c r="F19" s="231">
        <v>8</v>
      </c>
      <c r="G19" s="231">
        <v>10</v>
      </c>
      <c r="H19" s="231">
        <v>10</v>
      </c>
      <c r="I19" s="231">
        <v>10</v>
      </c>
      <c r="J19" s="231">
        <v>12</v>
      </c>
      <c r="K19" s="231">
        <v>14</v>
      </c>
      <c r="L19" s="231">
        <v>16</v>
      </c>
      <c r="M19" s="231">
        <v>20</v>
      </c>
    </row>
    <row r="20" spans="1:13" ht="15.75" customHeight="1">
      <c r="A20" s="229" t="s">
        <v>313</v>
      </c>
      <c r="B20" s="231" t="s">
        <v>11</v>
      </c>
      <c r="C20" s="231" t="s">
        <v>11</v>
      </c>
      <c r="D20" s="231" t="s">
        <v>11</v>
      </c>
      <c r="E20" s="51">
        <v>0</v>
      </c>
      <c r="F20" s="51">
        <v>0</v>
      </c>
      <c r="G20" s="51">
        <v>0</v>
      </c>
      <c r="H20" s="232">
        <v>1</v>
      </c>
      <c r="I20" s="229">
        <v>1</v>
      </c>
      <c r="J20" s="229">
        <v>2</v>
      </c>
      <c r="K20" s="229">
        <v>2</v>
      </c>
      <c r="L20" s="229">
        <v>2</v>
      </c>
      <c r="M20" s="229">
        <v>2</v>
      </c>
    </row>
    <row r="21" spans="1:13" ht="15.75" customHeight="1">
      <c r="A21" s="229" t="s">
        <v>286</v>
      </c>
      <c r="B21" s="231" t="s">
        <v>11</v>
      </c>
      <c r="C21" s="231" t="s">
        <v>11</v>
      </c>
      <c r="D21" s="231" t="s">
        <v>11</v>
      </c>
      <c r="E21" s="51">
        <v>0</v>
      </c>
      <c r="F21" s="231">
        <v>1</v>
      </c>
      <c r="G21" s="231">
        <v>1</v>
      </c>
      <c r="H21" s="231">
        <v>1</v>
      </c>
      <c r="I21" s="231">
        <v>1</v>
      </c>
      <c r="J21" s="231">
        <v>1</v>
      </c>
      <c r="K21" s="231">
        <v>1</v>
      </c>
      <c r="L21" s="231">
        <v>1</v>
      </c>
      <c r="M21" s="231">
        <v>1</v>
      </c>
    </row>
    <row r="22" spans="1:13" ht="15.75" customHeight="1">
      <c r="A22" s="233" t="s">
        <v>288</v>
      </c>
      <c r="B22" s="227">
        <v>16038</v>
      </c>
      <c r="C22" s="227">
        <v>17204</v>
      </c>
      <c r="D22" s="227">
        <v>17886</v>
      </c>
      <c r="E22" s="227">
        <v>18042</v>
      </c>
      <c r="F22" s="227">
        <v>18247</v>
      </c>
      <c r="G22" s="227">
        <v>18400</v>
      </c>
      <c r="H22" s="227">
        <f aca="true" t="shared" si="10" ref="H22:M22">SUM(H23:H30)</f>
        <v>18553</v>
      </c>
      <c r="I22" s="227">
        <f t="shared" si="10"/>
        <v>18660</v>
      </c>
      <c r="J22" s="227">
        <f t="shared" si="10"/>
        <v>18746</v>
      </c>
      <c r="K22" s="227">
        <f t="shared" si="10"/>
        <v>18890</v>
      </c>
      <c r="L22" s="227">
        <f t="shared" si="10"/>
        <v>19025</v>
      </c>
      <c r="M22" s="227">
        <f t="shared" si="10"/>
        <v>19215</v>
      </c>
    </row>
    <row r="23" spans="1:13" ht="15.75" customHeight="1">
      <c r="A23" s="229" t="s">
        <v>140</v>
      </c>
      <c r="B23" s="229">
        <v>7490</v>
      </c>
      <c r="C23" s="229">
        <v>7925</v>
      </c>
      <c r="D23" s="229">
        <v>8179</v>
      </c>
      <c r="E23" s="229">
        <v>8246</v>
      </c>
      <c r="F23" s="229">
        <v>8304</v>
      </c>
      <c r="G23" s="229">
        <v>8322</v>
      </c>
      <c r="H23" s="229">
        <v>8369</v>
      </c>
      <c r="I23" s="229">
        <v>8360</v>
      </c>
      <c r="J23" s="229">
        <v>8402</v>
      </c>
      <c r="K23" s="229">
        <v>8418</v>
      </c>
      <c r="L23" s="229">
        <v>8460</v>
      </c>
      <c r="M23" s="229">
        <v>8526</v>
      </c>
    </row>
    <row r="24" spans="1:13" ht="15.75" customHeight="1">
      <c r="A24" s="229" t="s">
        <v>141</v>
      </c>
      <c r="B24" s="229">
        <v>7555</v>
      </c>
      <c r="C24" s="229">
        <v>8099</v>
      </c>
      <c r="D24" s="229">
        <v>8272</v>
      </c>
      <c r="E24" s="229">
        <v>8310</v>
      </c>
      <c r="F24" s="229">
        <v>8400</v>
      </c>
      <c r="G24" s="229">
        <v>8494</v>
      </c>
      <c r="H24" s="229">
        <v>8575</v>
      </c>
      <c r="I24" s="229">
        <v>8629</v>
      </c>
      <c r="J24" s="229">
        <v>8671</v>
      </c>
      <c r="K24" s="229">
        <v>8762</v>
      </c>
      <c r="L24" s="229">
        <v>8855</v>
      </c>
      <c r="M24" s="229">
        <v>8940</v>
      </c>
    </row>
    <row r="25" spans="1:13" ht="15.75" customHeight="1">
      <c r="A25" s="229" t="s">
        <v>142</v>
      </c>
      <c r="B25" s="229">
        <v>205</v>
      </c>
      <c r="C25" s="229">
        <v>226</v>
      </c>
      <c r="D25" s="229">
        <v>258</v>
      </c>
      <c r="E25" s="229">
        <v>270</v>
      </c>
      <c r="F25" s="229">
        <v>276</v>
      </c>
      <c r="G25" s="229">
        <v>284</v>
      </c>
      <c r="H25" s="229">
        <v>289</v>
      </c>
      <c r="I25" s="229">
        <v>301</v>
      </c>
      <c r="J25" s="229">
        <v>300</v>
      </c>
      <c r="K25" s="229">
        <v>300</v>
      </c>
      <c r="L25" s="229">
        <v>299</v>
      </c>
      <c r="M25" s="229">
        <v>306</v>
      </c>
    </row>
    <row r="26" spans="1:13" ht="15.75" customHeight="1">
      <c r="A26" s="229" t="s">
        <v>143</v>
      </c>
      <c r="B26" s="229">
        <v>134</v>
      </c>
      <c r="C26" s="229">
        <v>57</v>
      </c>
      <c r="D26" s="229">
        <v>52</v>
      </c>
      <c r="E26" s="229">
        <v>46</v>
      </c>
      <c r="F26" s="229">
        <v>46</v>
      </c>
      <c r="G26" s="229">
        <v>51</v>
      </c>
      <c r="H26" s="229">
        <v>54</v>
      </c>
      <c r="I26" s="229">
        <v>50</v>
      </c>
      <c r="J26" s="229">
        <v>43</v>
      </c>
      <c r="K26" s="229">
        <v>39</v>
      </c>
      <c r="L26" s="231">
        <v>37</v>
      </c>
      <c r="M26" s="231">
        <v>36</v>
      </c>
    </row>
    <row r="27" spans="1:13" ht="15.75" customHeight="1">
      <c r="A27" s="229" t="s">
        <v>144</v>
      </c>
      <c r="B27" s="229">
        <v>654</v>
      </c>
      <c r="C27" s="229">
        <v>897</v>
      </c>
      <c r="D27" s="229">
        <v>1125</v>
      </c>
      <c r="E27" s="229">
        <v>1162</v>
      </c>
      <c r="F27" s="229">
        <v>1206</v>
      </c>
      <c r="G27" s="229">
        <v>1230</v>
      </c>
      <c r="H27" s="229">
        <v>1247</v>
      </c>
      <c r="I27" s="229">
        <v>1300</v>
      </c>
      <c r="J27" s="229">
        <v>1309</v>
      </c>
      <c r="K27" s="229">
        <v>1345</v>
      </c>
      <c r="L27" s="231">
        <v>1347</v>
      </c>
      <c r="M27" s="231">
        <v>1374</v>
      </c>
    </row>
    <row r="28" spans="1:13" ht="15.75" customHeight="1">
      <c r="A28" s="229" t="s">
        <v>271</v>
      </c>
      <c r="B28" s="231" t="s">
        <v>11</v>
      </c>
      <c r="C28" s="231" t="s">
        <v>11</v>
      </c>
      <c r="D28" s="231" t="s">
        <v>11</v>
      </c>
      <c r="E28" s="231">
        <v>8</v>
      </c>
      <c r="F28" s="231">
        <v>15</v>
      </c>
      <c r="G28" s="231">
        <v>18</v>
      </c>
      <c r="H28" s="231">
        <v>18</v>
      </c>
      <c r="I28" s="231">
        <v>19</v>
      </c>
      <c r="J28" s="231">
        <v>20</v>
      </c>
      <c r="K28" s="231">
        <v>24</v>
      </c>
      <c r="L28" s="231">
        <v>25</v>
      </c>
      <c r="M28" s="231">
        <v>32</v>
      </c>
    </row>
    <row r="29" spans="1:13" ht="15.75" customHeight="1">
      <c r="A29" s="229" t="s">
        <v>313</v>
      </c>
      <c r="B29" s="231" t="s">
        <v>11</v>
      </c>
      <c r="C29" s="231" t="s">
        <v>11</v>
      </c>
      <c r="D29" s="231" t="s">
        <v>11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231">
        <v>1</v>
      </c>
      <c r="M29" s="51">
        <v>0</v>
      </c>
    </row>
    <row r="30" spans="1:13" ht="15.75" customHeight="1" thickBot="1">
      <c r="A30" s="234" t="s">
        <v>286</v>
      </c>
      <c r="B30" s="235" t="s">
        <v>11</v>
      </c>
      <c r="C30" s="235" t="s">
        <v>11</v>
      </c>
      <c r="D30" s="235" t="s">
        <v>11</v>
      </c>
      <c r="E30" s="236">
        <v>0</v>
      </c>
      <c r="F30" s="236">
        <f>+F33</f>
        <v>0</v>
      </c>
      <c r="G30" s="235">
        <v>1</v>
      </c>
      <c r="H30" s="235">
        <v>1</v>
      </c>
      <c r="I30" s="235">
        <v>1</v>
      </c>
      <c r="J30" s="235">
        <v>1</v>
      </c>
      <c r="K30" s="235">
        <v>2</v>
      </c>
      <c r="L30" s="235">
        <v>1</v>
      </c>
      <c r="M30" s="235">
        <v>1</v>
      </c>
    </row>
    <row r="31" spans="1:13" ht="15">
      <c r="A31" s="391" t="s">
        <v>635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</row>
  </sheetData>
  <sheetProtection/>
  <mergeCells count="3">
    <mergeCell ref="A1:L1"/>
    <mergeCell ref="A2:M2"/>
    <mergeCell ref="A31:M31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zoomScale="85" zoomScaleNormal="85" zoomScalePageLayoutView="0" workbookViewId="0" topLeftCell="A1">
      <selection activeCell="J38" sqref="J38"/>
    </sheetView>
  </sheetViews>
  <sheetFormatPr defaultColWidth="11.421875" defaultRowHeight="12.75"/>
  <cols>
    <col min="1" max="1" width="11.7109375" style="42" customWidth="1"/>
    <col min="2" max="2" width="8.00390625" style="42" bestFit="1" customWidth="1"/>
    <col min="3" max="3" width="17.57421875" style="42" bestFit="1" customWidth="1"/>
    <col min="4" max="4" width="11.28125" style="42" bestFit="1" customWidth="1"/>
    <col min="5" max="5" width="7.7109375" style="42" customWidth="1"/>
    <col min="6" max="6" width="8.00390625" style="42" bestFit="1" customWidth="1"/>
    <col min="7" max="7" width="17.57421875" style="42" bestFit="1" customWidth="1"/>
    <col min="8" max="8" width="11.28125" style="42" bestFit="1" customWidth="1"/>
    <col min="9" max="9" width="7.7109375" style="42" customWidth="1"/>
    <col min="10" max="10" width="8.00390625" style="42" bestFit="1" customWidth="1"/>
    <col min="11" max="11" width="17.57421875" style="42" customWidth="1"/>
    <col min="12" max="12" width="11.28125" style="42" bestFit="1" customWidth="1"/>
    <col min="13" max="16384" width="11.421875" style="42" customWidth="1"/>
  </cols>
  <sheetData>
    <row r="1" spans="1:12" s="48" customFormat="1" ht="18">
      <c r="A1" s="445" t="s">
        <v>307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.75" thickBot="1">
      <c r="A2" s="390" t="s">
        <v>475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87" customFormat="1" ht="15.75">
      <c r="A3" s="260"/>
      <c r="B3" s="446" t="s">
        <v>121</v>
      </c>
      <c r="C3" s="446"/>
      <c r="D3" s="446"/>
      <c r="E3" s="194"/>
      <c r="F3" s="446" t="s">
        <v>22</v>
      </c>
      <c r="G3" s="446"/>
      <c r="H3" s="446"/>
      <c r="I3" s="194"/>
      <c r="J3" s="446" t="s">
        <v>21</v>
      </c>
      <c r="K3" s="446"/>
      <c r="L3" s="446"/>
    </row>
    <row r="4" spans="1:12" ht="15">
      <c r="A4" s="221" t="s">
        <v>4</v>
      </c>
      <c r="B4" s="195" t="s">
        <v>134</v>
      </c>
      <c r="C4" s="214" t="s">
        <v>74</v>
      </c>
      <c r="D4" s="195" t="s">
        <v>76</v>
      </c>
      <c r="E4" s="195"/>
      <c r="F4" s="195" t="s">
        <v>134</v>
      </c>
      <c r="G4" s="214" t="s">
        <v>74</v>
      </c>
      <c r="H4" s="195" t="s">
        <v>76</v>
      </c>
      <c r="I4" s="195"/>
      <c r="J4" s="195" t="s">
        <v>134</v>
      </c>
      <c r="K4" s="214" t="s">
        <v>74</v>
      </c>
      <c r="L4" s="195" t="s">
        <v>76</v>
      </c>
    </row>
    <row r="5" spans="1:12" ht="15.75">
      <c r="A5" s="187">
        <v>2000</v>
      </c>
      <c r="B5" s="311">
        <v>0.7331768020662127</v>
      </c>
      <c r="C5" s="211">
        <v>0.7271275382158339</v>
      </c>
      <c r="D5" s="211">
        <v>0.7429413208936901</v>
      </c>
      <c r="E5" s="211"/>
      <c r="F5" s="311">
        <v>0.6083589887116335</v>
      </c>
      <c r="G5" s="211">
        <v>0.6039163328882955</v>
      </c>
      <c r="H5" s="211">
        <v>0.615887380593263</v>
      </c>
      <c r="I5" s="211"/>
      <c r="J5" s="311">
        <v>0.8596822995461422</v>
      </c>
      <c r="K5" s="211">
        <v>0.8567415730337079</v>
      </c>
      <c r="L5" s="211">
        <v>0.8642034548944337</v>
      </c>
    </row>
    <row r="6" spans="1:12" ht="15.75">
      <c r="A6" s="187">
        <v>2001</v>
      </c>
      <c r="B6" s="311">
        <v>0.7280822546589553</v>
      </c>
      <c r="C6" s="211">
        <v>0.7235163204747774</v>
      </c>
      <c r="D6" s="211">
        <v>0.7354924151215988</v>
      </c>
      <c r="E6" s="211"/>
      <c r="F6" s="311">
        <v>0.6058608058608058</v>
      </c>
      <c r="G6" s="211">
        <v>0.6069347319347319</v>
      </c>
      <c r="H6" s="211">
        <v>0.604043392504931</v>
      </c>
      <c r="I6" s="211"/>
      <c r="J6" s="311">
        <v>0.8509110988404197</v>
      </c>
      <c r="K6" s="211">
        <v>0.8444679564691656</v>
      </c>
      <c r="L6" s="211">
        <v>0.8609411764705882</v>
      </c>
    </row>
    <row r="7" spans="1:12" ht="15.75">
      <c r="A7" s="187">
        <v>2002</v>
      </c>
      <c r="B7" s="311">
        <v>0.714805218419019</v>
      </c>
      <c r="C7" s="211">
        <v>0.7088551966600747</v>
      </c>
      <c r="D7" s="211">
        <v>0.7245387011742151</v>
      </c>
      <c r="E7" s="211"/>
      <c r="F7" s="311">
        <v>0.594697657526784</v>
      </c>
      <c r="G7" s="211">
        <v>0.5959537572254335</v>
      </c>
      <c r="H7" s="211">
        <v>0.5925744992672203</v>
      </c>
      <c r="I7" s="211"/>
      <c r="J7" s="311">
        <v>0.835229858898498</v>
      </c>
      <c r="K7" s="211">
        <v>0.8248923214020496</v>
      </c>
      <c r="L7" s="211">
        <v>0.8515992474129821</v>
      </c>
    </row>
    <row r="8" spans="1:12" ht="15.75">
      <c r="A8" s="187">
        <v>2003</v>
      </c>
      <c r="B8" s="311">
        <v>0.6983878190774743</v>
      </c>
      <c r="C8" s="211">
        <v>0.7030311799175287</v>
      </c>
      <c r="D8" s="211">
        <v>0.6908428353120959</v>
      </c>
      <c r="E8" s="211"/>
      <c r="F8" s="311">
        <v>0.5938704184962811</v>
      </c>
      <c r="G8" s="211">
        <v>0.5952107829079438</v>
      </c>
      <c r="H8" s="211">
        <v>0.591636798088411</v>
      </c>
      <c r="I8" s="211"/>
      <c r="J8" s="311">
        <v>0.8027929460209471</v>
      </c>
      <c r="K8" s="211">
        <v>0.8128193896919258</v>
      </c>
      <c r="L8" s="211">
        <v>0.7869042110134197</v>
      </c>
    </row>
    <row r="9" spans="1:12" ht="15.75">
      <c r="A9" s="187">
        <v>2004</v>
      </c>
      <c r="B9" s="311">
        <v>0.7031880459362391</v>
      </c>
      <c r="C9" s="211">
        <v>0.7015107038018186</v>
      </c>
      <c r="D9" s="211">
        <v>0.7059166084323317</v>
      </c>
      <c r="E9" s="211"/>
      <c r="F9" s="311">
        <v>0.5977787649933363</v>
      </c>
      <c r="G9" s="211">
        <v>0.5986355884025014</v>
      </c>
      <c r="H9" s="211">
        <v>0.5963498459350557</v>
      </c>
      <c r="I9" s="211"/>
      <c r="J9" s="311">
        <v>0.8081961409098956</v>
      </c>
      <c r="K9" s="211">
        <v>0.8059443081806377</v>
      </c>
      <c r="L9" s="211">
        <v>0.8117700938859629</v>
      </c>
    </row>
    <row r="10" spans="1:12" ht="15.75">
      <c r="A10" s="187">
        <v>2005</v>
      </c>
      <c r="B10" s="311">
        <v>0.7032468390678004</v>
      </c>
      <c r="C10" s="211">
        <v>0.7015423981803967</v>
      </c>
      <c r="D10" s="211">
        <v>0.7060254924681344</v>
      </c>
      <c r="E10" s="211"/>
      <c r="F10" s="311">
        <v>0.6014652661311678</v>
      </c>
      <c r="G10" s="211">
        <v>0.6035092684307344</v>
      </c>
      <c r="H10" s="211">
        <v>0.5980760206475833</v>
      </c>
      <c r="I10" s="211"/>
      <c r="J10" s="311">
        <v>0.8046613896218118</v>
      </c>
      <c r="K10" s="211">
        <v>0.8004855755498429</v>
      </c>
      <c r="L10" s="211">
        <v>0.8113553113553114</v>
      </c>
    </row>
    <row r="11" spans="1:12" ht="15.75">
      <c r="A11" s="187">
        <v>2006</v>
      </c>
      <c r="B11" s="311">
        <v>0.7129134134573208</v>
      </c>
      <c r="C11" s="211">
        <v>0.7124109221759684</v>
      </c>
      <c r="D11" s="211">
        <v>0.7137391304347827</v>
      </c>
      <c r="E11" s="211"/>
      <c r="F11" s="311">
        <v>0.6095438966517268</v>
      </c>
      <c r="G11" s="211">
        <v>0.6133389615871676</v>
      </c>
      <c r="H11" s="211">
        <v>0.6032303370786517</v>
      </c>
      <c r="I11" s="211"/>
      <c r="J11" s="311">
        <v>0.8159208336982222</v>
      </c>
      <c r="K11" s="211">
        <v>0.8120577412963487</v>
      </c>
      <c r="L11" s="211">
        <v>0.8221915920055134</v>
      </c>
    </row>
    <row r="12" spans="1:12" ht="15.75">
      <c r="A12" s="187">
        <v>2007</v>
      </c>
      <c r="B12" s="311">
        <v>0.725461061096058</v>
      </c>
      <c r="C12" s="211">
        <v>0.7218723761544921</v>
      </c>
      <c r="D12" s="211">
        <v>0.7314318975552968</v>
      </c>
      <c r="E12" s="211"/>
      <c r="F12" s="311">
        <v>0.628125274146855</v>
      </c>
      <c r="G12" s="211">
        <v>0.6290797030396414</v>
      </c>
      <c r="H12" s="211">
        <v>0.6265258215962441</v>
      </c>
      <c r="I12" s="211"/>
      <c r="J12" s="311">
        <v>0.822084821039798</v>
      </c>
      <c r="K12" s="211">
        <v>0.8144834335243953</v>
      </c>
      <c r="L12" s="211">
        <v>0.8346420323325635</v>
      </c>
    </row>
    <row r="13" spans="1:12" ht="15.75">
      <c r="A13" s="187">
        <v>2008</v>
      </c>
      <c r="B13" s="311">
        <v>0.7282651241682251</v>
      </c>
      <c r="C13" s="211">
        <v>0.7271407837445574</v>
      </c>
      <c r="D13" s="211">
        <v>0.7301736274049742</v>
      </c>
      <c r="E13" s="211"/>
      <c r="F13" s="311">
        <v>0.634235807860262</v>
      </c>
      <c r="G13" s="211">
        <v>0.6385191347753744</v>
      </c>
      <c r="H13" s="211">
        <v>0.6269466729589429</v>
      </c>
      <c r="I13" s="211"/>
      <c r="J13" s="311">
        <v>0.8215368621675474</v>
      </c>
      <c r="K13" s="211">
        <v>0.8152128978916908</v>
      </c>
      <c r="L13" s="211">
        <v>0.8322445170321978</v>
      </c>
    </row>
    <row r="14" spans="1:12" ht="15.75">
      <c r="A14" s="187">
        <v>2009</v>
      </c>
      <c r="B14" s="311">
        <v>0.721404696792117</v>
      </c>
      <c r="C14" s="211">
        <v>0.7225105529029133</v>
      </c>
      <c r="D14" s="211">
        <v>0.719543442813883</v>
      </c>
      <c r="E14" s="211"/>
      <c r="F14" s="311">
        <v>0.6312434509256025</v>
      </c>
      <c r="G14" s="211">
        <v>0.6368567454798331</v>
      </c>
      <c r="H14" s="211">
        <v>0.6217738151102769</v>
      </c>
      <c r="I14" s="211"/>
      <c r="J14" s="311">
        <v>0.8105308588692275</v>
      </c>
      <c r="K14" s="211">
        <v>0.8073268144883625</v>
      </c>
      <c r="L14" s="211">
        <v>0.8159111933395005</v>
      </c>
    </row>
    <row r="15" spans="1:12" ht="15.75">
      <c r="A15" s="187">
        <v>2010</v>
      </c>
      <c r="B15" s="311">
        <v>0.7220761305341208</v>
      </c>
      <c r="C15" s="211">
        <v>0.7217049451686324</v>
      </c>
      <c r="D15" s="211">
        <v>0.7226948723844562</v>
      </c>
      <c r="E15" s="211"/>
      <c r="F15" s="311">
        <v>0.6330164217804667</v>
      </c>
      <c r="G15" s="211">
        <v>0.6388465271038403</v>
      </c>
      <c r="H15" s="211">
        <v>0.623364700481983</v>
      </c>
      <c r="I15" s="211"/>
      <c r="J15" s="311">
        <v>0.8106992345402941</v>
      </c>
      <c r="K15" s="211">
        <v>0.8037331869338458</v>
      </c>
      <c r="L15" s="211">
        <v>0.8223911541119557</v>
      </c>
    </row>
    <row r="16" spans="1:12" ht="15.75">
      <c r="A16" s="187">
        <v>2011</v>
      </c>
      <c r="B16" s="311">
        <v>0.7415484810831655</v>
      </c>
      <c r="C16" s="211">
        <v>0.7471145919208574</v>
      </c>
      <c r="D16" s="211">
        <v>0.7323238073551178</v>
      </c>
      <c r="E16" s="211"/>
      <c r="F16" s="311">
        <v>0.6621134020618556</v>
      </c>
      <c r="G16" s="211">
        <v>0.6752384902530071</v>
      </c>
      <c r="H16" s="211">
        <v>0.640571817562968</v>
      </c>
      <c r="I16" s="211"/>
      <c r="J16" s="311">
        <v>0.8205829558081887</v>
      </c>
      <c r="K16" s="211">
        <v>0.8181073330602212</v>
      </c>
      <c r="L16" s="211">
        <v>0.8247257769652651</v>
      </c>
    </row>
    <row r="17" spans="1:12" ht="15.75">
      <c r="A17" s="187">
        <v>2012</v>
      </c>
      <c r="B17" s="311">
        <v>0.739803094233474</v>
      </c>
      <c r="C17" s="211">
        <v>0.7443536761172513</v>
      </c>
      <c r="D17" s="211">
        <v>0.732351618705036</v>
      </c>
      <c r="E17" s="211"/>
      <c r="F17" s="311">
        <v>0.6598395630653695</v>
      </c>
      <c r="G17" s="211">
        <v>0.6707300180080343</v>
      </c>
      <c r="H17" s="211">
        <v>0.6423649699933318</v>
      </c>
      <c r="I17" s="211"/>
      <c r="J17" s="311">
        <v>0.8195828011919966</v>
      </c>
      <c r="K17" s="211">
        <v>0.8166848121937942</v>
      </c>
      <c r="L17" s="211">
        <v>0.8244257448260177</v>
      </c>
    </row>
    <row r="18" spans="1:12" ht="15.75">
      <c r="A18" s="187">
        <v>2013</v>
      </c>
      <c r="B18" s="311">
        <v>0.7373381447675653</v>
      </c>
      <c r="C18" s="211">
        <v>0.742178924259056</v>
      </c>
      <c r="D18" s="211">
        <v>0.7294798975387015</v>
      </c>
      <c r="E18" s="211"/>
      <c r="F18" s="311">
        <v>0.6597894379351333</v>
      </c>
      <c r="G18" s="211">
        <v>0.6693951165371809</v>
      </c>
      <c r="H18" s="211">
        <v>0.6446389496717724</v>
      </c>
      <c r="I18" s="211"/>
      <c r="J18" s="311">
        <v>0.8148934363590048</v>
      </c>
      <c r="K18" s="211">
        <v>0.8133821932681867</v>
      </c>
      <c r="L18" s="211">
        <v>0.8174189158539351</v>
      </c>
    </row>
    <row r="19" spans="1:12" ht="15.75">
      <c r="A19" s="187">
        <v>2014</v>
      </c>
      <c r="B19" s="311">
        <v>0.7366970532117871</v>
      </c>
      <c r="C19" s="211">
        <v>0.7426944711208671</v>
      </c>
      <c r="D19" s="211">
        <v>0.7269901187964917</v>
      </c>
      <c r="E19" s="211"/>
      <c r="F19" s="311">
        <v>0.6619981325863679</v>
      </c>
      <c r="G19" s="211">
        <v>0.67375</v>
      </c>
      <c r="H19" s="211">
        <v>0.6435276140580659</v>
      </c>
      <c r="I19" s="211"/>
      <c r="J19" s="311">
        <v>0.8112504235852254</v>
      </c>
      <c r="K19" s="211">
        <v>0.8099756031444836</v>
      </c>
      <c r="L19" s="211">
        <v>0.8133755083596927</v>
      </c>
    </row>
    <row r="20" spans="1:12" ht="15.75">
      <c r="A20" s="187">
        <v>2015</v>
      </c>
      <c r="B20" s="311">
        <v>0.7387193448989068</v>
      </c>
      <c r="C20" s="211">
        <v>0.7470854478123714</v>
      </c>
      <c r="D20" s="211">
        <v>0.7253266000658689</v>
      </c>
      <c r="E20" s="211"/>
      <c r="F20" s="311">
        <v>0.667425392008093</v>
      </c>
      <c r="G20" s="211">
        <v>0.6824070204763895</v>
      </c>
      <c r="H20" s="211">
        <v>0.6444586803331198</v>
      </c>
      <c r="I20" s="211"/>
      <c r="J20" s="311">
        <v>0.8102121903795756</v>
      </c>
      <c r="K20" s="211">
        <v>0.8098068350668648</v>
      </c>
      <c r="L20" s="211">
        <v>0.8108901943063714</v>
      </c>
    </row>
    <row r="21" spans="1:12" ht="15.75">
      <c r="A21" s="187">
        <v>2016</v>
      </c>
      <c r="B21" s="311">
        <v>0.7393617021276596</v>
      </c>
      <c r="C21" s="211">
        <v>0.7490244403368248</v>
      </c>
      <c r="D21" s="211">
        <v>0.7238189626693096</v>
      </c>
      <c r="E21" s="211"/>
      <c r="F21" s="311">
        <v>0.6673677126272398</v>
      </c>
      <c r="G21" s="211">
        <v>0.6858253505483827</v>
      </c>
      <c r="H21" s="211">
        <v>0.6389837745516652</v>
      </c>
      <c r="I21" s="211"/>
      <c r="J21" s="311">
        <v>0.8118803491229557</v>
      </c>
      <c r="K21" s="211">
        <v>0.8105078336034576</v>
      </c>
      <c r="L21" s="211">
        <v>0.8141914942005913</v>
      </c>
    </row>
    <row r="22" spans="1:12" ht="15.75">
      <c r="A22" s="187">
        <v>2017</v>
      </c>
      <c r="B22" s="311">
        <v>0.7442046027213169</v>
      </c>
      <c r="C22" s="211">
        <v>0.7536865101037684</v>
      </c>
      <c r="D22" s="211">
        <v>0.7290484504583151</v>
      </c>
      <c r="E22" s="211"/>
      <c r="F22" s="311">
        <v>0.6750984169528437</v>
      </c>
      <c r="G22" s="211">
        <v>0.6933536839184127</v>
      </c>
      <c r="H22" s="211">
        <v>0.6472950126796281</v>
      </c>
      <c r="I22" s="211"/>
      <c r="J22" s="311">
        <v>0.8136949380948371</v>
      </c>
      <c r="K22" s="211">
        <v>0.8121220266093268</v>
      </c>
      <c r="L22" s="211">
        <v>0.8163357400722022</v>
      </c>
    </row>
    <row r="23" spans="1:12" ht="15.75">
      <c r="A23" s="187">
        <v>2018</v>
      </c>
      <c r="B23" s="311">
        <v>0.7500104650676044</v>
      </c>
      <c r="C23" s="211">
        <v>0.7594461874232711</v>
      </c>
      <c r="D23" s="211">
        <v>0.7350167985260648</v>
      </c>
      <c r="E23" s="211"/>
      <c r="F23" s="311">
        <v>0.6814358290996918</v>
      </c>
      <c r="G23" s="211">
        <v>0.7006095871432529</v>
      </c>
      <c r="H23" s="211">
        <v>0.6525370641052411</v>
      </c>
      <c r="I23" s="211"/>
      <c r="J23" s="311">
        <v>0.8193065140548729</v>
      </c>
      <c r="K23" s="211">
        <v>0.8164965072541644</v>
      </c>
      <c r="L23" s="211">
        <v>0.82401982875169</v>
      </c>
    </row>
    <row r="24" spans="1:12" ht="16.5" thickBot="1">
      <c r="A24" s="174">
        <v>2019</v>
      </c>
      <c r="B24" s="312">
        <v>0.7577272348579521</v>
      </c>
      <c r="C24" s="215">
        <v>0.7666780238500852</v>
      </c>
      <c r="D24" s="215">
        <v>0.7436501982638517</v>
      </c>
      <c r="E24" s="215"/>
      <c r="F24" s="312">
        <v>0.6925306392845313</v>
      </c>
      <c r="G24" s="215">
        <v>0.7101730103806229</v>
      </c>
      <c r="H24" s="215">
        <v>0.6662543805400948</v>
      </c>
      <c r="I24" s="215"/>
      <c r="J24" s="312">
        <v>0.8237217099748533</v>
      </c>
      <c r="K24" s="215">
        <v>0.8214765100671141</v>
      </c>
      <c r="L24" s="215">
        <v>0.8274553571428571</v>
      </c>
    </row>
    <row r="25" spans="1:12" ht="15">
      <c r="A25" s="391" t="s">
        <v>635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</row>
  </sheetData>
  <sheetProtection/>
  <mergeCells count="6">
    <mergeCell ref="A1:L1"/>
    <mergeCell ref="A2:L2"/>
    <mergeCell ref="B3:D3"/>
    <mergeCell ref="F3:H3"/>
    <mergeCell ref="J3:L3"/>
    <mergeCell ref="A25:L25"/>
  </mergeCells>
  <printOptions/>
  <pageMargins left="0.5905511811023623" right="0.5905511811023623" top="0.984251968503937" bottom="0.7874015748031497" header="0.4724409448818898" footer="0.4724409448818898"/>
  <pageSetup horizontalDpi="300" verticalDpi="300" orientation="landscape" paperSize="9" scale="9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zoomScale="85" zoomScaleNormal="85" zoomScalePageLayoutView="0" workbookViewId="0" topLeftCell="A1">
      <selection activeCell="F26" sqref="F26"/>
    </sheetView>
  </sheetViews>
  <sheetFormatPr defaultColWidth="11.421875" defaultRowHeight="12.75"/>
  <cols>
    <col min="1" max="1" width="11.7109375" style="42" customWidth="1"/>
    <col min="2" max="2" width="7.7109375" style="42" bestFit="1" customWidth="1"/>
    <col min="3" max="3" width="17.57421875" style="42" bestFit="1" customWidth="1"/>
    <col min="4" max="4" width="11.28125" style="42" bestFit="1" customWidth="1"/>
    <col min="5" max="5" width="7.7109375" style="42" customWidth="1"/>
    <col min="6" max="6" width="7.7109375" style="42" bestFit="1" customWidth="1"/>
    <col min="7" max="7" width="17.57421875" style="42" bestFit="1" customWidth="1"/>
    <col min="8" max="8" width="11.28125" style="42" bestFit="1" customWidth="1"/>
    <col min="9" max="9" width="7.7109375" style="42" customWidth="1"/>
    <col min="10" max="10" width="7.7109375" style="42" bestFit="1" customWidth="1"/>
    <col min="11" max="11" width="17.57421875" style="42" bestFit="1" customWidth="1"/>
    <col min="12" max="12" width="11.8515625" style="42" bestFit="1" customWidth="1"/>
    <col min="13" max="16384" width="11.421875" style="42" customWidth="1"/>
  </cols>
  <sheetData>
    <row r="1" spans="1:12" s="48" customFormat="1" ht="18">
      <c r="A1" s="445" t="s">
        <v>305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.75" customHeight="1" thickBot="1">
      <c r="A2" s="390" t="s">
        <v>474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187" customFormat="1" ht="15.75" customHeight="1">
      <c r="A3" s="260"/>
      <c r="B3" s="446" t="s">
        <v>121</v>
      </c>
      <c r="C3" s="446"/>
      <c r="D3" s="446"/>
      <c r="E3" s="194"/>
      <c r="F3" s="446" t="s">
        <v>22</v>
      </c>
      <c r="G3" s="446"/>
      <c r="H3" s="446"/>
      <c r="I3" s="194"/>
      <c r="J3" s="446" t="s">
        <v>21</v>
      </c>
      <c r="K3" s="446"/>
      <c r="L3" s="446"/>
    </row>
    <row r="4" spans="1:12" ht="15.75" customHeight="1">
      <c r="A4" s="221" t="s">
        <v>4</v>
      </c>
      <c r="B4" s="195" t="s">
        <v>134</v>
      </c>
      <c r="C4" s="214" t="s">
        <v>74</v>
      </c>
      <c r="D4" s="195" t="s">
        <v>76</v>
      </c>
      <c r="E4" s="195"/>
      <c r="F4" s="195" t="s">
        <v>134</v>
      </c>
      <c r="G4" s="214" t="s">
        <v>74</v>
      </c>
      <c r="H4" s="195" t="s">
        <v>76</v>
      </c>
      <c r="I4" s="195"/>
      <c r="J4" s="195" t="s">
        <v>134</v>
      </c>
      <c r="K4" s="214" t="s">
        <v>74</v>
      </c>
      <c r="L4" s="195" t="s">
        <v>76</v>
      </c>
    </row>
    <row r="5" spans="1:12" ht="15.75" customHeight="1">
      <c r="A5" s="187">
        <v>2000</v>
      </c>
      <c r="B5" s="314">
        <v>0.736</v>
      </c>
      <c r="C5" s="211">
        <v>0.7231285988483686</v>
      </c>
      <c r="D5" s="211">
        <v>0.758695652173913</v>
      </c>
      <c r="E5" s="211"/>
      <c r="F5" s="314">
        <v>0.614</v>
      </c>
      <c r="G5" s="211">
        <v>0.605</v>
      </c>
      <c r="H5" s="211">
        <v>0.631</v>
      </c>
      <c r="I5" s="211"/>
      <c r="J5" s="314">
        <v>0.86</v>
      </c>
      <c r="K5" s="211">
        <v>0.847</v>
      </c>
      <c r="L5" s="211">
        <v>0.882</v>
      </c>
    </row>
    <row r="6" spans="1:12" ht="15.75" customHeight="1">
      <c r="A6" s="187">
        <v>2001</v>
      </c>
      <c r="B6" s="314">
        <v>0.731</v>
      </c>
      <c r="C6" s="212">
        <v>0.7159600830486906</v>
      </c>
      <c r="D6" s="211">
        <v>0.7564376475879906</v>
      </c>
      <c r="E6" s="211"/>
      <c r="F6" s="314">
        <v>0.613</v>
      </c>
      <c r="G6" s="211">
        <v>0.603</v>
      </c>
      <c r="H6" s="211">
        <v>0.63</v>
      </c>
      <c r="I6" s="211"/>
      <c r="J6" s="314">
        <v>0.85</v>
      </c>
      <c r="K6" s="211">
        <v>0.8320000000000001</v>
      </c>
      <c r="L6" s="211">
        <v>0.879</v>
      </c>
    </row>
    <row r="7" spans="1:12" ht="15.75" customHeight="1">
      <c r="A7" s="187">
        <v>2002</v>
      </c>
      <c r="B7" s="314">
        <v>0.721</v>
      </c>
      <c r="C7" s="211">
        <v>0.7073154584574645</v>
      </c>
      <c r="D7" s="211">
        <v>0.7449904847195791</v>
      </c>
      <c r="E7" s="211"/>
      <c r="F7" s="314">
        <v>0.604</v>
      </c>
      <c r="G7" s="211">
        <v>0.597</v>
      </c>
      <c r="H7" s="211">
        <v>0.616</v>
      </c>
      <c r="I7" s="211"/>
      <c r="J7" s="314">
        <v>0.839</v>
      </c>
      <c r="K7" s="211">
        <v>0.82</v>
      </c>
      <c r="L7" s="211">
        <v>0.87</v>
      </c>
    </row>
    <row r="8" spans="1:12" ht="15.75" customHeight="1">
      <c r="A8" s="187">
        <v>2003</v>
      </c>
      <c r="B8" s="314">
        <v>0.722</v>
      </c>
      <c r="C8" s="211">
        <v>0.7081539465101109</v>
      </c>
      <c r="D8" s="211">
        <v>0.746042216358839</v>
      </c>
      <c r="E8" s="211"/>
      <c r="F8" s="314">
        <v>0.613</v>
      </c>
      <c r="G8" s="211">
        <v>0.604</v>
      </c>
      <c r="H8" s="211">
        <v>0.628</v>
      </c>
      <c r="I8" s="211"/>
      <c r="J8" s="314">
        <v>0.831</v>
      </c>
      <c r="K8" s="211">
        <v>0.813</v>
      </c>
      <c r="L8" s="211">
        <v>0.861</v>
      </c>
    </row>
    <row r="9" spans="1:12" ht="15.75" customHeight="1">
      <c r="A9" s="187">
        <v>2004</v>
      </c>
      <c r="B9" s="314">
        <v>0.717</v>
      </c>
      <c r="C9" s="211">
        <v>0.7030624111642331</v>
      </c>
      <c r="D9" s="211">
        <v>0.7401437595295143</v>
      </c>
      <c r="E9" s="211"/>
      <c r="F9" s="314">
        <v>0.615</v>
      </c>
      <c r="G9" s="211">
        <v>0.604</v>
      </c>
      <c r="H9" s="211">
        <v>0.634</v>
      </c>
      <c r="I9" s="211"/>
      <c r="J9" s="314">
        <v>0.818</v>
      </c>
      <c r="K9" s="211">
        <v>0.803</v>
      </c>
      <c r="L9" s="211">
        <v>0.842</v>
      </c>
    </row>
    <row r="10" spans="1:12" ht="15.75" customHeight="1">
      <c r="A10" s="187">
        <v>2005</v>
      </c>
      <c r="B10" s="314">
        <v>0.72</v>
      </c>
      <c r="C10" s="211">
        <v>0.7079026770238172</v>
      </c>
      <c r="D10" s="211">
        <v>0.7400909681611436</v>
      </c>
      <c r="E10" s="211"/>
      <c r="F10" s="314">
        <v>0.62</v>
      </c>
      <c r="G10" s="211">
        <v>0.61</v>
      </c>
      <c r="H10" s="211">
        <v>0.637</v>
      </c>
      <c r="I10" s="211"/>
      <c r="J10" s="314">
        <v>0.819</v>
      </c>
      <c r="K10" s="211">
        <v>0.8059999999999999</v>
      </c>
      <c r="L10" s="211">
        <v>0.841</v>
      </c>
    </row>
    <row r="11" spans="1:12" ht="15.75" customHeight="1">
      <c r="A11" s="187">
        <v>2006</v>
      </c>
      <c r="B11" s="314">
        <v>0.722</v>
      </c>
      <c r="C11" s="211">
        <v>0.7133604267208534</v>
      </c>
      <c r="D11" s="211">
        <v>0.7380513709764821</v>
      </c>
      <c r="E11" s="211"/>
      <c r="F11" s="314">
        <v>0.621</v>
      </c>
      <c r="G11" s="211">
        <v>0.615</v>
      </c>
      <c r="H11" s="211">
        <v>0.632</v>
      </c>
      <c r="I11" s="211"/>
      <c r="J11" s="314">
        <v>0.823</v>
      </c>
      <c r="K11" s="211">
        <v>0.8109999999999999</v>
      </c>
      <c r="L11" s="211">
        <v>0.842</v>
      </c>
    </row>
    <row r="12" spans="1:12" ht="15.75" customHeight="1">
      <c r="A12" s="187">
        <v>2007</v>
      </c>
      <c r="B12" s="314">
        <v>0.735</v>
      </c>
      <c r="C12" s="211">
        <v>0.723</v>
      </c>
      <c r="D12" s="211">
        <v>0.757</v>
      </c>
      <c r="E12" s="211"/>
      <c r="F12" s="314">
        <v>0.638</v>
      </c>
      <c r="G12" s="211">
        <v>0.628</v>
      </c>
      <c r="H12" s="211">
        <v>0.655</v>
      </c>
      <c r="I12" s="211"/>
      <c r="J12" s="314">
        <v>0.832</v>
      </c>
      <c r="K12" s="211">
        <v>0.817</v>
      </c>
      <c r="L12" s="211">
        <v>0.857</v>
      </c>
    </row>
    <row r="13" spans="1:12" ht="15.75" customHeight="1">
      <c r="A13" s="187">
        <v>2008</v>
      </c>
      <c r="B13" s="314">
        <v>0.7189053736923751</v>
      </c>
      <c r="C13" s="211">
        <v>0.7091611135330386</v>
      </c>
      <c r="D13" s="211">
        <v>0.7361294583883752</v>
      </c>
      <c r="E13" s="211"/>
      <c r="F13" s="314">
        <v>0.6272255489021956</v>
      </c>
      <c r="G13" s="211">
        <v>0.6236559139784946</v>
      </c>
      <c r="H13" s="211">
        <v>0.633532140490391</v>
      </c>
      <c r="I13" s="211"/>
      <c r="J13" s="314">
        <v>0.8099239061509195</v>
      </c>
      <c r="K13" s="211">
        <v>0.7940191090706042</v>
      </c>
      <c r="L13" s="211">
        <v>0.8380513495720869</v>
      </c>
    </row>
    <row r="14" spans="1:12" ht="15.75" customHeight="1">
      <c r="A14" s="187">
        <v>2009</v>
      </c>
      <c r="B14" s="314">
        <v>0.7186804451510334</v>
      </c>
      <c r="C14" s="211">
        <v>0.7116644823066841</v>
      </c>
      <c r="D14" s="211">
        <v>0.7309839115683485</v>
      </c>
      <c r="E14" s="211"/>
      <c r="F14" s="314">
        <v>0.6292745286033876</v>
      </c>
      <c r="G14" s="211">
        <v>0.6269910949454408</v>
      </c>
      <c r="H14" s="211">
        <v>0.6332819722650231</v>
      </c>
      <c r="I14" s="211"/>
      <c r="J14" s="314">
        <v>0.8071812717494464</v>
      </c>
      <c r="K14" s="211">
        <v>0.795527950310559</v>
      </c>
      <c r="L14" s="211">
        <v>0.8276012189812799</v>
      </c>
    </row>
    <row r="15" spans="1:12" ht="15.75" customHeight="1">
      <c r="A15" s="187">
        <v>2010</v>
      </c>
      <c r="B15" s="314">
        <v>0.719</v>
      </c>
      <c r="C15" s="211">
        <v>0.711</v>
      </c>
      <c r="D15" s="211">
        <v>0.731</v>
      </c>
      <c r="E15" s="211"/>
      <c r="F15" s="314">
        <v>0.631</v>
      </c>
      <c r="G15" s="211">
        <v>0.628</v>
      </c>
      <c r="H15" s="211">
        <v>0.635</v>
      </c>
      <c r="I15" s="211"/>
      <c r="J15" s="314">
        <v>0.806</v>
      </c>
      <c r="K15" s="211">
        <v>0.794</v>
      </c>
      <c r="L15" s="211">
        <v>0.828</v>
      </c>
    </row>
    <row r="16" spans="1:12" ht="15.75" customHeight="1">
      <c r="A16" s="187">
        <v>2011</v>
      </c>
      <c r="B16" s="314">
        <v>0.739695375677161</v>
      </c>
      <c r="C16" s="211">
        <v>0.7381173700192105</v>
      </c>
      <c r="D16" s="211">
        <v>0.7424226196851237</v>
      </c>
      <c r="E16" s="211"/>
      <c r="F16" s="314">
        <v>0.6577498033044846</v>
      </c>
      <c r="G16" s="211">
        <v>0.6610972568578554</v>
      </c>
      <c r="H16" s="211">
        <v>0.6520255863539446</v>
      </c>
      <c r="I16" s="211"/>
      <c r="J16" s="314">
        <v>0.8212942651206518</v>
      </c>
      <c r="K16" s="211">
        <v>0.814217075274116</v>
      </c>
      <c r="L16" s="211">
        <v>0.8336561222293953</v>
      </c>
    </row>
    <row r="17" spans="1:12" ht="15.75" customHeight="1">
      <c r="A17" s="187">
        <v>2012</v>
      </c>
      <c r="B17" s="314">
        <v>0.7360336828973529</v>
      </c>
      <c r="C17" s="211">
        <v>0.7335804757491504</v>
      </c>
      <c r="D17" s="211">
        <v>0.7402281850834566</v>
      </c>
      <c r="E17" s="211"/>
      <c r="F17" s="314">
        <v>0.6547088706525986</v>
      </c>
      <c r="G17" s="211">
        <v>0.6565543071161049</v>
      </c>
      <c r="H17" s="211">
        <v>0.651619644723093</v>
      </c>
      <c r="I17" s="211"/>
      <c r="J17" s="314">
        <v>0.8169726197884256</v>
      </c>
      <c r="K17" s="211">
        <v>0.8090519877675841</v>
      </c>
      <c r="L17" s="211">
        <v>0.8308053834650716</v>
      </c>
    </row>
    <row r="18" spans="1:12" ht="15.75" customHeight="1">
      <c r="A18" s="187">
        <v>2013</v>
      </c>
      <c r="B18" s="314">
        <v>0.7337222870478413</v>
      </c>
      <c r="C18" s="211">
        <v>0.7311049210770659</v>
      </c>
      <c r="D18" s="211">
        <v>0.7381475667189953</v>
      </c>
      <c r="E18" s="211"/>
      <c r="F18" s="314">
        <v>0.6515953307392996</v>
      </c>
      <c r="G18" s="211">
        <v>0.6536054081121683</v>
      </c>
      <c r="H18" s="211">
        <v>0.6482928835870012</v>
      </c>
      <c r="I18" s="211"/>
      <c r="J18" s="314">
        <v>0.8157853810264386</v>
      </c>
      <c r="K18" s="211">
        <v>0.8069058405779356</v>
      </c>
      <c r="L18" s="211">
        <v>0.8312380140634988</v>
      </c>
    </row>
    <row r="19" spans="1:12" ht="15.75" customHeight="1">
      <c r="A19" s="187">
        <v>2014</v>
      </c>
      <c r="B19" s="314">
        <v>0.7361224410519365</v>
      </c>
      <c r="C19" s="211">
        <v>0.7337373237694781</v>
      </c>
      <c r="D19" s="211">
        <v>0.7401525441437676</v>
      </c>
      <c r="E19" s="211"/>
      <c r="F19" s="314">
        <v>0.6549743908117337</v>
      </c>
      <c r="G19" s="211">
        <v>0.6573889166250624</v>
      </c>
      <c r="H19" s="211">
        <v>0.6510053344275749</v>
      </c>
      <c r="I19" s="211"/>
      <c r="J19" s="314">
        <v>0.8174535272614141</v>
      </c>
      <c r="K19" s="211">
        <v>0.8087009803921569</v>
      </c>
      <c r="L19" s="211">
        <v>0.832659144134554</v>
      </c>
    </row>
    <row r="20" spans="1:12" ht="15.75" customHeight="1">
      <c r="A20" s="187">
        <v>2015</v>
      </c>
      <c r="B20" s="314">
        <v>0.737</v>
      </c>
      <c r="C20" s="211">
        <v>0.736</v>
      </c>
      <c r="D20" s="211">
        <v>0.737</v>
      </c>
      <c r="E20" s="211"/>
      <c r="F20" s="314">
        <v>0.659</v>
      </c>
      <c r="G20" s="211">
        <v>0.664</v>
      </c>
      <c r="H20" s="211">
        <v>0.65</v>
      </c>
      <c r="I20" s="211"/>
      <c r="J20" s="314">
        <v>0.815</v>
      </c>
      <c r="K20" s="211">
        <v>0.806</v>
      </c>
      <c r="L20" s="211">
        <v>0.829</v>
      </c>
    </row>
    <row r="21" spans="1:12" ht="15.75" customHeight="1">
      <c r="A21" s="187">
        <v>2016</v>
      </c>
      <c r="B21" s="314">
        <v>0.735</v>
      </c>
      <c r="C21" s="211">
        <v>0.736</v>
      </c>
      <c r="D21" s="211">
        <v>0.732</v>
      </c>
      <c r="E21" s="211"/>
      <c r="F21" s="314">
        <v>0.659</v>
      </c>
      <c r="G21" s="211">
        <v>0.666</v>
      </c>
      <c r="H21" s="211">
        <v>0.647</v>
      </c>
      <c r="I21" s="211"/>
      <c r="J21" s="314">
        <v>0.811</v>
      </c>
      <c r="K21" s="211">
        <v>0.806</v>
      </c>
      <c r="L21" s="211">
        <v>0.822</v>
      </c>
    </row>
    <row r="22" spans="1:12" ht="15.75" customHeight="1">
      <c r="A22" s="187">
        <v>2017</v>
      </c>
      <c r="B22" s="314">
        <v>0.733</v>
      </c>
      <c r="C22" s="211">
        <v>0.735</v>
      </c>
      <c r="D22" s="211">
        <v>0.73</v>
      </c>
      <c r="E22" s="211"/>
      <c r="F22" s="314">
        <v>0.661</v>
      </c>
      <c r="G22" s="211">
        <v>0.669</v>
      </c>
      <c r="H22" s="211">
        <v>0.649</v>
      </c>
      <c r="I22" s="211"/>
      <c r="J22" s="314">
        <v>0.806</v>
      </c>
      <c r="K22" s="211">
        <v>0.8</v>
      </c>
      <c r="L22" s="211">
        <v>0.817</v>
      </c>
    </row>
    <row r="23" spans="1:12" ht="15.75" customHeight="1">
      <c r="A23" s="187">
        <v>2018</v>
      </c>
      <c r="B23" s="314">
        <v>0.7416673111128297</v>
      </c>
      <c r="C23" s="211">
        <v>0.7430993934892932</v>
      </c>
      <c r="D23" s="211">
        <v>0.739282769991756</v>
      </c>
      <c r="E23" s="211"/>
      <c r="F23" s="314">
        <v>0.6712877387553913</v>
      </c>
      <c r="G23" s="211">
        <v>0.6781277450119212</v>
      </c>
      <c r="H23" s="211">
        <v>0.6604187437686939</v>
      </c>
      <c r="I23" s="211"/>
      <c r="J23" s="314">
        <v>0.8126261841900916</v>
      </c>
      <c r="K23" s="211">
        <v>0.8063255586762731</v>
      </c>
      <c r="L23" s="211">
        <v>0.8236297718063553</v>
      </c>
    </row>
    <row r="24" spans="1:12" ht="15.75" customHeight="1" thickBot="1">
      <c r="A24" s="174">
        <v>2019</v>
      </c>
      <c r="B24" s="313">
        <v>0.748</v>
      </c>
      <c r="C24" s="215">
        <v>0.749</v>
      </c>
      <c r="D24" s="215">
        <v>0.745</v>
      </c>
      <c r="E24" s="215"/>
      <c r="F24" s="314">
        <v>0.68</v>
      </c>
      <c r="G24" s="215">
        <v>0.688</v>
      </c>
      <c r="H24" s="215">
        <v>0.668</v>
      </c>
      <c r="I24" s="215"/>
      <c r="J24" s="314">
        <v>0.816</v>
      </c>
      <c r="K24" s="215">
        <v>0.809</v>
      </c>
      <c r="L24" s="215">
        <v>0.828</v>
      </c>
    </row>
    <row r="25" spans="1:12" ht="15">
      <c r="A25" s="391" t="s">
        <v>635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</row>
  </sheetData>
  <sheetProtection/>
  <mergeCells count="6">
    <mergeCell ref="A1:L1"/>
    <mergeCell ref="A2:L2"/>
    <mergeCell ref="B3:D3"/>
    <mergeCell ref="F3:H3"/>
    <mergeCell ref="J3:L3"/>
    <mergeCell ref="A25:L25"/>
  </mergeCells>
  <printOptions/>
  <pageMargins left="0.5905511811023623" right="0.5905511811023623" top="0.984251968503937" bottom="0.7874015748031497" header="0.4724409448818898" footer="0.4724409448818898"/>
  <pageSetup horizontalDpi="300" verticalDpi="300" orientation="landscape" paperSize="9" scale="9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zoomScale="85" zoomScaleNormal="85" zoomScalePageLayoutView="0" workbookViewId="0" topLeftCell="A1">
      <selection activeCell="R36" sqref="R36"/>
    </sheetView>
  </sheetViews>
  <sheetFormatPr defaultColWidth="11.421875" defaultRowHeight="12.75"/>
  <cols>
    <col min="1" max="1" width="8.00390625" style="25" bestFit="1" customWidth="1"/>
    <col min="2" max="2" width="17.7109375" style="25" bestFit="1" customWidth="1"/>
    <col min="3" max="3" width="5.57421875" style="25" customWidth="1"/>
    <col min="4" max="4" width="11.7109375" style="25" customWidth="1"/>
    <col min="5" max="5" width="16.57421875" style="25" bestFit="1" customWidth="1"/>
    <col min="6" max="6" width="16.28125" style="25" customWidth="1"/>
    <col min="7" max="7" width="19.421875" style="25" customWidth="1"/>
    <col min="8" max="16384" width="11.421875" style="25" customWidth="1"/>
  </cols>
  <sheetData>
    <row r="1" spans="1:7" ht="18">
      <c r="A1" s="445" t="s">
        <v>267</v>
      </c>
      <c r="B1" s="445"/>
      <c r="C1" s="445"/>
      <c r="D1" s="445"/>
      <c r="E1" s="445"/>
      <c r="F1" s="445"/>
      <c r="G1" s="445"/>
    </row>
    <row r="2" spans="1:7" ht="15.75" thickBot="1">
      <c r="A2" s="390" t="s">
        <v>476</v>
      </c>
      <c r="B2" s="390"/>
      <c r="C2" s="390"/>
      <c r="D2" s="390"/>
      <c r="E2" s="390"/>
      <c r="F2" s="390"/>
      <c r="G2" s="390"/>
    </row>
    <row r="3" spans="1:7" ht="15.75">
      <c r="A3" s="378"/>
      <c r="B3" s="240" t="s">
        <v>119</v>
      </c>
      <c r="C3" s="240"/>
      <c r="D3" s="459" t="s">
        <v>28</v>
      </c>
      <c r="E3" s="459"/>
      <c r="F3" s="459"/>
      <c r="G3" s="459"/>
    </row>
    <row r="4" spans="1:7" ht="30.75">
      <c r="A4" s="241" t="s">
        <v>4</v>
      </c>
      <c r="B4" s="242"/>
      <c r="C4" s="242"/>
      <c r="D4" s="318" t="s">
        <v>134</v>
      </c>
      <c r="E4" s="243" t="s">
        <v>221</v>
      </c>
      <c r="F4" s="244" t="s">
        <v>222</v>
      </c>
      <c r="G4" s="243" t="s">
        <v>223</v>
      </c>
    </row>
    <row r="5" spans="1:7" ht="15.75">
      <c r="A5" s="450" t="s">
        <v>15</v>
      </c>
      <c r="B5" s="450"/>
      <c r="C5" s="450"/>
      <c r="D5" s="450"/>
      <c r="E5" s="450"/>
      <c r="F5" s="450"/>
      <c r="G5" s="450"/>
    </row>
    <row r="6" spans="1:7" ht="15">
      <c r="A6" s="237" t="s">
        <v>57</v>
      </c>
      <c r="B6" s="204">
        <v>16628</v>
      </c>
      <c r="C6" s="204"/>
      <c r="D6" s="306">
        <v>7575</v>
      </c>
      <c r="E6" s="204">
        <v>962</v>
      </c>
      <c r="F6" s="204">
        <v>4259</v>
      </c>
      <c r="G6" s="204">
        <v>2354</v>
      </c>
    </row>
    <row r="7" spans="1:7" ht="15">
      <c r="A7" s="237" t="s">
        <v>58</v>
      </c>
      <c r="B7" s="204">
        <v>21350</v>
      </c>
      <c r="C7" s="204"/>
      <c r="D7" s="306">
        <v>10243</v>
      </c>
      <c r="E7" s="204">
        <v>646</v>
      </c>
      <c r="F7" s="204">
        <v>5669</v>
      </c>
      <c r="G7" s="204">
        <v>3928</v>
      </c>
    </row>
    <row r="8" spans="1:7" ht="15">
      <c r="A8" s="237" t="s">
        <v>59</v>
      </c>
      <c r="B8" s="204">
        <v>25215</v>
      </c>
      <c r="C8" s="204"/>
      <c r="D8" s="306">
        <v>13000</v>
      </c>
      <c r="E8" s="204">
        <v>517</v>
      </c>
      <c r="F8" s="204">
        <v>6409</v>
      </c>
      <c r="G8" s="204">
        <v>6074</v>
      </c>
    </row>
    <row r="9" spans="1:7" ht="15">
      <c r="A9" s="237" t="s">
        <v>60</v>
      </c>
      <c r="B9" s="204">
        <v>29032</v>
      </c>
      <c r="C9" s="204"/>
      <c r="D9" s="306">
        <v>15358</v>
      </c>
      <c r="E9" s="204">
        <v>239</v>
      </c>
      <c r="F9" s="204">
        <v>5387</v>
      </c>
      <c r="G9" s="204">
        <v>8742</v>
      </c>
    </row>
    <row r="10" spans="1:7" ht="15">
      <c r="A10" s="238">
        <v>2000</v>
      </c>
      <c r="B10" s="204">
        <v>32863</v>
      </c>
      <c r="C10" s="204"/>
      <c r="D10" s="306">
        <v>16725</v>
      </c>
      <c r="E10" s="204">
        <v>278</v>
      </c>
      <c r="F10" s="204">
        <v>6090</v>
      </c>
      <c r="G10" s="204">
        <v>10357</v>
      </c>
    </row>
    <row r="11" spans="1:7" ht="15">
      <c r="A11" s="238">
        <v>2001</v>
      </c>
      <c r="B11" s="204">
        <v>33525</v>
      </c>
      <c r="C11" s="204"/>
      <c r="D11" s="306">
        <v>16958</v>
      </c>
      <c r="E11" s="204">
        <v>283</v>
      </c>
      <c r="F11" s="204">
        <v>6172</v>
      </c>
      <c r="G11" s="204">
        <v>10503</v>
      </c>
    </row>
    <row r="12" spans="1:7" ht="15">
      <c r="A12" s="238">
        <v>2002</v>
      </c>
      <c r="B12" s="204">
        <v>33863</v>
      </c>
      <c r="C12" s="204"/>
      <c r="D12" s="306">
        <v>16863</v>
      </c>
      <c r="E12" s="204">
        <v>306</v>
      </c>
      <c r="F12" s="204">
        <v>6022</v>
      </c>
      <c r="G12" s="204">
        <v>10535</v>
      </c>
    </row>
    <row r="13" spans="1:7" ht="15">
      <c r="A13" s="238">
        <v>2003</v>
      </c>
      <c r="B13" s="204">
        <v>34294</v>
      </c>
      <c r="C13" s="204"/>
      <c r="D13" s="306">
        <f aca="true" t="shared" si="0" ref="D13:D18">SUM(E13:G13)</f>
        <v>16974</v>
      </c>
      <c r="E13" s="204">
        <v>304</v>
      </c>
      <c r="F13" s="204">
        <v>6006</v>
      </c>
      <c r="G13" s="204">
        <v>10664</v>
      </c>
    </row>
    <row r="14" spans="1:7" ht="15">
      <c r="A14" s="238">
        <v>2004</v>
      </c>
      <c r="B14" s="204">
        <v>34600</v>
      </c>
      <c r="C14" s="204"/>
      <c r="D14" s="306">
        <f t="shared" si="0"/>
        <v>16985</v>
      </c>
      <c r="E14" s="204">
        <v>302</v>
      </c>
      <c r="F14" s="204">
        <v>5856</v>
      </c>
      <c r="G14" s="204">
        <v>10827</v>
      </c>
    </row>
    <row r="15" spans="1:7" ht="15">
      <c r="A15" s="238">
        <v>2005</v>
      </c>
      <c r="B15" s="204">
        <v>34905</v>
      </c>
      <c r="C15" s="204"/>
      <c r="D15" s="306">
        <f t="shared" si="0"/>
        <v>17098</v>
      </c>
      <c r="E15" s="204">
        <v>294</v>
      </c>
      <c r="F15" s="204">
        <v>5819</v>
      </c>
      <c r="G15" s="204">
        <v>10985</v>
      </c>
    </row>
    <row r="16" spans="1:7" ht="15">
      <c r="A16" s="238">
        <v>2006</v>
      </c>
      <c r="B16" s="204">
        <v>35168</v>
      </c>
      <c r="C16" s="204"/>
      <c r="D16" s="306">
        <f t="shared" si="0"/>
        <v>17470</v>
      </c>
      <c r="E16" s="204">
        <v>296</v>
      </c>
      <c r="F16" s="204">
        <v>5974</v>
      </c>
      <c r="G16" s="204">
        <v>11200</v>
      </c>
    </row>
    <row r="17" spans="1:7" ht="15">
      <c r="A17" s="238">
        <v>2007</v>
      </c>
      <c r="B17" s="204">
        <v>35356</v>
      </c>
      <c r="C17" s="204"/>
      <c r="D17" s="306">
        <f t="shared" si="0"/>
        <v>17838</v>
      </c>
      <c r="E17" s="204">
        <v>268</v>
      </c>
      <c r="F17" s="204">
        <v>5979</v>
      </c>
      <c r="G17" s="204">
        <v>11591</v>
      </c>
    </row>
    <row r="18" spans="1:7" ht="15">
      <c r="A18" s="238">
        <v>2008</v>
      </c>
      <c r="B18" s="204">
        <v>35589</v>
      </c>
      <c r="C18" s="204"/>
      <c r="D18" s="306">
        <f t="shared" si="0"/>
        <v>18034</v>
      </c>
      <c r="E18" s="204">
        <v>200</v>
      </c>
      <c r="F18" s="204">
        <v>5846</v>
      </c>
      <c r="G18" s="204">
        <v>11988</v>
      </c>
    </row>
    <row r="19" spans="1:7" ht="15">
      <c r="A19" s="238">
        <v>2009</v>
      </c>
      <c r="B19" s="204">
        <v>35894</v>
      </c>
      <c r="C19" s="204"/>
      <c r="D19" s="306">
        <f aca="true" t="shared" si="1" ref="D19:D24">SUM(E19:G19)</f>
        <v>17931</v>
      </c>
      <c r="E19" s="204">
        <v>207</v>
      </c>
      <c r="F19" s="204">
        <v>5701</v>
      </c>
      <c r="G19" s="204">
        <v>12023</v>
      </c>
    </row>
    <row r="20" spans="1:7" ht="15">
      <c r="A20" s="238">
        <v>2010</v>
      </c>
      <c r="B20" s="204">
        <v>36149</v>
      </c>
      <c r="C20" s="204"/>
      <c r="D20" s="306">
        <f t="shared" si="1"/>
        <v>18078</v>
      </c>
      <c r="E20" s="204">
        <v>225</v>
      </c>
      <c r="F20" s="204">
        <v>5782</v>
      </c>
      <c r="G20" s="204">
        <v>12071</v>
      </c>
    </row>
    <row r="21" spans="1:7" ht="15">
      <c r="A21" s="238">
        <v>2011</v>
      </c>
      <c r="B21" s="206">
        <v>36475</v>
      </c>
      <c r="C21" s="206"/>
      <c r="D21" s="307">
        <f t="shared" si="1"/>
        <v>18726</v>
      </c>
      <c r="E21" s="206">
        <v>235</v>
      </c>
      <c r="F21" s="206">
        <v>5731</v>
      </c>
      <c r="G21" s="206">
        <v>12760</v>
      </c>
    </row>
    <row r="22" spans="1:7" ht="15">
      <c r="A22" s="238">
        <v>2012</v>
      </c>
      <c r="B22" s="206">
        <v>36838</v>
      </c>
      <c r="C22" s="206"/>
      <c r="D22" s="307">
        <f t="shared" si="1"/>
        <v>18834</v>
      </c>
      <c r="E22" s="206">
        <v>235</v>
      </c>
      <c r="F22" s="206">
        <v>5714</v>
      </c>
      <c r="G22" s="206">
        <v>12885</v>
      </c>
    </row>
    <row r="23" spans="1:7" ht="15">
      <c r="A23" s="238">
        <v>2013</v>
      </c>
      <c r="B23" s="206">
        <v>37129</v>
      </c>
      <c r="C23" s="206"/>
      <c r="D23" s="307">
        <f t="shared" si="1"/>
        <v>18811</v>
      </c>
      <c r="E23" s="206">
        <v>242</v>
      </c>
      <c r="F23" s="206">
        <v>5667</v>
      </c>
      <c r="G23" s="206">
        <v>12902</v>
      </c>
    </row>
    <row r="24" spans="1:7" ht="15">
      <c r="A24" s="238">
        <v>2014</v>
      </c>
      <c r="B24" s="206">
        <v>37366</v>
      </c>
      <c r="C24" s="206"/>
      <c r="D24" s="307">
        <f t="shared" si="1"/>
        <v>18835</v>
      </c>
      <c r="E24" s="206">
        <v>239</v>
      </c>
      <c r="F24" s="206">
        <v>5566</v>
      </c>
      <c r="G24" s="206">
        <v>13030</v>
      </c>
    </row>
    <row r="25" spans="1:7" ht="15">
      <c r="A25" s="238">
        <v>2015</v>
      </c>
      <c r="B25" s="206">
        <v>37622</v>
      </c>
      <c r="C25" s="206"/>
      <c r="D25" s="307">
        <f>SUM(E25:G25)</f>
        <v>18946</v>
      </c>
      <c r="E25" s="206">
        <v>246</v>
      </c>
      <c r="F25" s="206">
        <v>5520</v>
      </c>
      <c r="G25" s="206">
        <v>13180</v>
      </c>
    </row>
    <row r="26" spans="1:7" ht="15">
      <c r="A26" s="238">
        <v>2016</v>
      </c>
      <c r="B26" s="206">
        <v>37810</v>
      </c>
      <c r="C26" s="206"/>
      <c r="D26" s="307">
        <f>SUM(E26:G26)</f>
        <v>19000</v>
      </c>
      <c r="E26" s="206">
        <v>195</v>
      </c>
      <c r="F26" s="206">
        <v>5435</v>
      </c>
      <c r="G26" s="206">
        <v>13370</v>
      </c>
    </row>
    <row r="27" spans="1:7" ht="15">
      <c r="A27" s="238">
        <v>2017</v>
      </c>
      <c r="B27" s="206">
        <v>38114</v>
      </c>
      <c r="C27" s="206"/>
      <c r="D27" s="307">
        <f>SUM(E27:G27)</f>
        <v>19200</v>
      </c>
      <c r="E27" s="206">
        <v>192</v>
      </c>
      <c r="F27" s="206">
        <v>5476</v>
      </c>
      <c r="G27" s="206">
        <v>13532</v>
      </c>
    </row>
    <row r="28" spans="1:7" ht="15">
      <c r="A28" s="238">
        <v>2018</v>
      </c>
      <c r="B28" s="206">
        <v>38378</v>
      </c>
      <c r="C28" s="206"/>
      <c r="D28" s="307">
        <f>SUM(E28:G28)</f>
        <v>19413</v>
      </c>
      <c r="E28" s="206">
        <v>195</v>
      </c>
      <c r="F28" s="206">
        <v>5579</v>
      </c>
      <c r="G28" s="206">
        <v>13639</v>
      </c>
    </row>
    <row r="29" spans="1:7" ht="15">
      <c r="A29" s="238">
        <v>2019</v>
      </c>
      <c r="B29" s="206">
        <v>38747</v>
      </c>
      <c r="C29" s="206"/>
      <c r="D29" s="307">
        <f>SUM(E29:G29)</f>
        <v>19721</v>
      </c>
      <c r="E29" s="206">
        <v>188</v>
      </c>
      <c r="F29" s="206">
        <v>5592</v>
      </c>
      <c r="G29" s="206">
        <v>13941</v>
      </c>
    </row>
    <row r="30" spans="1:7" ht="15.75">
      <c r="A30" s="450" t="s">
        <v>17</v>
      </c>
      <c r="B30" s="450"/>
      <c r="C30" s="450"/>
      <c r="D30" s="450"/>
      <c r="E30" s="450"/>
      <c r="F30" s="450"/>
      <c r="G30" s="450"/>
    </row>
    <row r="31" spans="1:7" ht="15">
      <c r="A31" s="203" t="s">
        <v>57</v>
      </c>
      <c r="B31" s="239">
        <v>100</v>
      </c>
      <c r="C31" s="239"/>
      <c r="D31" s="315">
        <v>45.6</v>
      </c>
      <c r="E31" s="239">
        <v>5.8</v>
      </c>
      <c r="F31" s="239">
        <v>25.6</v>
      </c>
      <c r="G31" s="239">
        <v>14.2</v>
      </c>
    </row>
    <row r="32" spans="1:7" ht="15">
      <c r="A32" s="203" t="s">
        <v>58</v>
      </c>
      <c r="B32" s="239">
        <v>100</v>
      </c>
      <c r="C32" s="239"/>
      <c r="D32" s="315">
        <v>48</v>
      </c>
      <c r="E32" s="239">
        <v>3</v>
      </c>
      <c r="F32" s="239">
        <v>26.6</v>
      </c>
      <c r="G32" s="239">
        <v>18.4</v>
      </c>
    </row>
    <row r="33" spans="1:7" ht="15">
      <c r="A33" s="203" t="s">
        <v>59</v>
      </c>
      <c r="B33" s="239">
        <v>100</v>
      </c>
      <c r="C33" s="239"/>
      <c r="D33" s="315">
        <v>51.6</v>
      </c>
      <c r="E33" s="239">
        <v>2.1</v>
      </c>
      <c r="F33" s="239">
        <v>25.4</v>
      </c>
      <c r="G33" s="239">
        <v>24.1</v>
      </c>
    </row>
    <row r="34" spans="1:7" ht="15">
      <c r="A34" s="203" t="s">
        <v>60</v>
      </c>
      <c r="B34" s="239">
        <v>100</v>
      </c>
      <c r="C34" s="239"/>
      <c r="D34" s="315">
        <v>52.900248002204464</v>
      </c>
      <c r="E34" s="239">
        <v>0.8232295398181316</v>
      </c>
      <c r="F34" s="239">
        <v>18.555387158996968</v>
      </c>
      <c r="G34" s="239">
        <v>30.111600992008817</v>
      </c>
    </row>
    <row r="35" spans="1:7" ht="15">
      <c r="A35" s="238">
        <v>2000</v>
      </c>
      <c r="B35" s="239">
        <v>100</v>
      </c>
      <c r="C35" s="239"/>
      <c r="D35" s="315">
        <f aca="true" t="shared" si="2" ref="D35:D48">D10/B10*100</f>
        <v>50.8931016644859</v>
      </c>
      <c r="E35" s="239">
        <f aca="true" t="shared" si="3" ref="E35:E48">E10/B10*100</f>
        <v>0.8459361592064023</v>
      </c>
      <c r="F35" s="239">
        <f aca="true" t="shared" si="4" ref="F35:F48">F10/B10*100</f>
        <v>18.53147917110428</v>
      </c>
      <c r="G35" s="239">
        <f aca="true" t="shared" si="5" ref="G35:G42">G10/B10*100</f>
        <v>31.515686334175214</v>
      </c>
    </row>
    <row r="36" spans="1:7" ht="15">
      <c r="A36" s="238">
        <v>2001</v>
      </c>
      <c r="B36" s="239">
        <v>100</v>
      </c>
      <c r="C36" s="239"/>
      <c r="D36" s="315">
        <f t="shared" si="2"/>
        <v>50.583146905294555</v>
      </c>
      <c r="E36" s="239">
        <f t="shared" si="3"/>
        <v>0.8441461595824012</v>
      </c>
      <c r="F36" s="239">
        <f t="shared" si="4"/>
        <v>18.41014168530947</v>
      </c>
      <c r="G36" s="239">
        <f t="shared" si="5"/>
        <v>31.328859060402685</v>
      </c>
    </row>
    <row r="37" spans="1:7" ht="15">
      <c r="A37" s="238">
        <v>2002</v>
      </c>
      <c r="B37" s="239">
        <v>100</v>
      </c>
      <c r="C37" s="239"/>
      <c r="D37" s="315">
        <f t="shared" si="2"/>
        <v>49.79771431946372</v>
      </c>
      <c r="E37" s="239">
        <f t="shared" si="3"/>
        <v>0.903641142249653</v>
      </c>
      <c r="F37" s="239">
        <f t="shared" si="4"/>
        <v>17.783421433422912</v>
      </c>
      <c r="G37" s="239">
        <f t="shared" si="5"/>
        <v>31.110651743791156</v>
      </c>
    </row>
    <row r="38" spans="1:7" ht="15">
      <c r="A38" s="238">
        <v>2003</v>
      </c>
      <c r="B38" s="239">
        <v>100</v>
      </c>
      <c r="C38" s="239"/>
      <c r="D38" s="315">
        <f t="shared" si="2"/>
        <v>49.49553857817694</v>
      </c>
      <c r="E38" s="239">
        <f t="shared" si="3"/>
        <v>0.8864524406601739</v>
      </c>
      <c r="F38" s="239">
        <f t="shared" si="4"/>
        <v>17.513267626990146</v>
      </c>
      <c r="G38" s="239">
        <f t="shared" si="5"/>
        <v>31.095818510526623</v>
      </c>
    </row>
    <row r="39" spans="1:7" ht="15">
      <c r="A39" s="238">
        <v>2004</v>
      </c>
      <c r="B39" s="239">
        <v>100</v>
      </c>
      <c r="C39" s="239"/>
      <c r="D39" s="315">
        <f t="shared" si="2"/>
        <v>49.089595375722546</v>
      </c>
      <c r="E39" s="239">
        <f t="shared" si="3"/>
        <v>0.8728323699421966</v>
      </c>
      <c r="F39" s="239">
        <f t="shared" si="4"/>
        <v>16.92485549132948</v>
      </c>
      <c r="G39" s="239">
        <f t="shared" si="5"/>
        <v>31.291907514450866</v>
      </c>
    </row>
    <row r="40" spans="1:7" ht="15">
      <c r="A40" s="238">
        <v>2005</v>
      </c>
      <c r="B40" s="239">
        <v>100</v>
      </c>
      <c r="C40" s="239"/>
      <c r="D40" s="315">
        <f t="shared" si="2"/>
        <v>48.9843861910901</v>
      </c>
      <c r="E40" s="239">
        <f t="shared" si="3"/>
        <v>0.842286205414697</v>
      </c>
      <c r="F40" s="239">
        <f t="shared" si="4"/>
        <v>16.67096404526572</v>
      </c>
      <c r="G40" s="239">
        <f t="shared" si="5"/>
        <v>31.471135940409685</v>
      </c>
    </row>
    <row r="41" spans="1:7" ht="15">
      <c r="A41" s="238">
        <v>2006</v>
      </c>
      <c r="B41" s="239">
        <v>100</v>
      </c>
      <c r="C41" s="239"/>
      <c r="D41" s="315">
        <f t="shared" si="2"/>
        <v>49.67584167424931</v>
      </c>
      <c r="E41" s="239">
        <f t="shared" si="3"/>
        <v>0.8416742493175614</v>
      </c>
      <c r="F41" s="239">
        <f t="shared" si="4"/>
        <v>16.98703366696997</v>
      </c>
      <c r="G41" s="239">
        <f t="shared" si="5"/>
        <v>31.84713375796178</v>
      </c>
    </row>
    <row r="42" spans="1:7" ht="15">
      <c r="A42" s="238">
        <v>2007</v>
      </c>
      <c r="B42" s="239">
        <v>100</v>
      </c>
      <c r="C42" s="239"/>
      <c r="D42" s="315">
        <f t="shared" si="2"/>
        <v>50.45253988007693</v>
      </c>
      <c r="E42" s="239">
        <f t="shared" si="3"/>
        <v>0.7580042991288607</v>
      </c>
      <c r="F42" s="239">
        <f t="shared" si="4"/>
        <v>16.910849643624847</v>
      </c>
      <c r="G42" s="239">
        <f t="shared" si="5"/>
        <v>32.78368593732323</v>
      </c>
    </row>
    <row r="43" spans="1:7" ht="15">
      <c r="A43" s="238">
        <v>2008</v>
      </c>
      <c r="B43" s="239">
        <v>100</v>
      </c>
      <c r="C43" s="239"/>
      <c r="D43" s="315">
        <f t="shared" si="2"/>
        <v>50.67296074629801</v>
      </c>
      <c r="E43" s="239">
        <f t="shared" si="3"/>
        <v>0.5619713956559611</v>
      </c>
      <c r="F43" s="239">
        <f t="shared" si="4"/>
        <v>16.426423895023742</v>
      </c>
      <c r="G43" s="239">
        <f aca="true" t="shared" si="6" ref="G43:G48">G18/B18*100</f>
        <v>33.68456545561831</v>
      </c>
    </row>
    <row r="44" spans="1:7" ht="15">
      <c r="A44" s="238">
        <v>2009</v>
      </c>
      <c r="B44" s="239">
        <v>100</v>
      </c>
      <c r="C44" s="239"/>
      <c r="D44" s="315">
        <f t="shared" si="2"/>
        <v>49.955424304897754</v>
      </c>
      <c r="E44" s="239">
        <f t="shared" si="3"/>
        <v>0.5766980553853012</v>
      </c>
      <c r="F44" s="239">
        <f t="shared" si="4"/>
        <v>15.88287736111885</v>
      </c>
      <c r="G44" s="239">
        <f t="shared" si="6"/>
        <v>33.4958488883936</v>
      </c>
    </row>
    <row r="45" spans="1:7" ht="15">
      <c r="A45" s="238">
        <v>2010</v>
      </c>
      <c r="B45" s="239">
        <v>100</v>
      </c>
      <c r="C45" s="239"/>
      <c r="D45" s="315">
        <f t="shared" si="2"/>
        <v>50.00968214888378</v>
      </c>
      <c r="E45" s="239">
        <f t="shared" si="3"/>
        <v>0.6224238568148496</v>
      </c>
      <c r="F45" s="239">
        <f t="shared" si="4"/>
        <v>15.99490995601538</v>
      </c>
      <c r="G45" s="239">
        <f t="shared" si="6"/>
        <v>33.39234833605356</v>
      </c>
    </row>
    <row r="46" spans="1:7" ht="15">
      <c r="A46" s="238">
        <v>2011</v>
      </c>
      <c r="B46" s="239">
        <v>100</v>
      </c>
      <c r="C46" s="239"/>
      <c r="D46" s="315">
        <f t="shared" si="2"/>
        <v>51.33927347498286</v>
      </c>
      <c r="E46" s="239">
        <f t="shared" si="3"/>
        <v>0.6442769019876629</v>
      </c>
      <c r="F46" s="239">
        <f t="shared" si="4"/>
        <v>15.712131596984236</v>
      </c>
      <c r="G46" s="239">
        <f t="shared" si="6"/>
        <v>34.982864976010966</v>
      </c>
    </row>
    <row r="47" spans="1:7" ht="15">
      <c r="A47" s="238">
        <v>2012</v>
      </c>
      <c r="B47" s="239">
        <v>100</v>
      </c>
      <c r="C47" s="239"/>
      <c r="D47" s="315">
        <f t="shared" si="2"/>
        <v>51.12655410174276</v>
      </c>
      <c r="E47" s="239">
        <f t="shared" si="3"/>
        <v>0.6379282262880721</v>
      </c>
      <c r="F47" s="239">
        <f t="shared" si="4"/>
        <v>15.51115695748955</v>
      </c>
      <c r="G47" s="239">
        <f t="shared" si="6"/>
        <v>34.97746891796514</v>
      </c>
    </row>
    <row r="48" spans="1:7" ht="15">
      <c r="A48" s="238">
        <v>2013</v>
      </c>
      <c r="B48" s="239">
        <v>100</v>
      </c>
      <c r="C48" s="239"/>
      <c r="D48" s="315">
        <f t="shared" si="2"/>
        <v>50.66390153249481</v>
      </c>
      <c r="E48" s="239">
        <f t="shared" si="3"/>
        <v>0.6517816262220906</v>
      </c>
      <c r="F48" s="239">
        <f t="shared" si="4"/>
        <v>15.263001966118129</v>
      </c>
      <c r="G48" s="239">
        <f t="shared" si="6"/>
        <v>34.7491179401546</v>
      </c>
    </row>
    <row r="49" spans="1:7" ht="15">
      <c r="A49" s="238">
        <v>2014</v>
      </c>
      <c r="B49" s="239">
        <v>100</v>
      </c>
      <c r="C49" s="239"/>
      <c r="D49" s="315">
        <f aca="true" t="shared" si="7" ref="D49:D54">D24/B24*100</f>
        <v>50.4067869185891</v>
      </c>
      <c r="E49" s="239">
        <f aca="true" t="shared" si="8" ref="E49:E54">E24/B24*100</f>
        <v>0.6396189048867955</v>
      </c>
      <c r="F49" s="239">
        <f aca="true" t="shared" si="9" ref="F49:F54">F24/B24*100</f>
        <v>14.895894663597922</v>
      </c>
      <c r="G49" s="239">
        <f aca="true" t="shared" si="10" ref="G49:G54">G24/B24*100</f>
        <v>34.87127335010437</v>
      </c>
    </row>
    <row r="50" spans="1:7" ht="15">
      <c r="A50" s="238">
        <v>2015</v>
      </c>
      <c r="B50" s="239">
        <v>100</v>
      </c>
      <c r="C50" s="239"/>
      <c r="D50" s="315">
        <f t="shared" si="7"/>
        <v>50.35883259794801</v>
      </c>
      <c r="E50" s="239">
        <f t="shared" si="8"/>
        <v>0.6538727340385945</v>
      </c>
      <c r="F50" s="239">
        <f t="shared" si="9"/>
        <v>14.672266227207484</v>
      </c>
      <c r="G50" s="239">
        <f t="shared" si="10"/>
        <v>35.03269363670193</v>
      </c>
    </row>
    <row r="51" spans="1:7" ht="15">
      <c r="A51" s="238">
        <v>2016</v>
      </c>
      <c r="B51" s="239">
        <v>100</v>
      </c>
      <c r="C51" s="239"/>
      <c r="D51" s="315">
        <f t="shared" si="7"/>
        <v>50.25125628140703</v>
      </c>
      <c r="E51" s="239">
        <f t="shared" si="8"/>
        <v>0.5157365776249669</v>
      </c>
      <c r="F51" s="239">
        <f t="shared" si="9"/>
        <v>14.374504099444591</v>
      </c>
      <c r="G51" s="239">
        <f t="shared" si="10"/>
        <v>35.361015604337474</v>
      </c>
    </row>
    <row r="52" spans="1:7" ht="15">
      <c r="A52" s="238">
        <v>2017</v>
      </c>
      <c r="B52" s="239">
        <v>100</v>
      </c>
      <c r="C52" s="239"/>
      <c r="D52" s="315">
        <f t="shared" si="7"/>
        <v>50.37519021881723</v>
      </c>
      <c r="E52" s="239">
        <f t="shared" si="8"/>
        <v>0.5037519021881722</v>
      </c>
      <c r="F52" s="239">
        <f t="shared" si="9"/>
        <v>14.367424043658497</v>
      </c>
      <c r="G52" s="239">
        <f t="shared" si="10"/>
        <v>35.504014272970565</v>
      </c>
    </row>
    <row r="53" spans="1:7" ht="15">
      <c r="A53" s="238">
        <v>2018</v>
      </c>
      <c r="B53" s="239">
        <v>100</v>
      </c>
      <c r="C53" s="239"/>
      <c r="D53" s="315">
        <f t="shared" si="7"/>
        <v>50.58366772630153</v>
      </c>
      <c r="E53" s="239">
        <f t="shared" si="8"/>
        <v>0.5081036010214185</v>
      </c>
      <c r="F53" s="239">
        <f t="shared" si="9"/>
        <v>14.536974308197404</v>
      </c>
      <c r="G53" s="239">
        <f t="shared" si="10"/>
        <v>35.5385898170827</v>
      </c>
    </row>
    <row r="54" spans="1:7" ht="15.75" thickBot="1">
      <c r="A54" s="317">
        <v>2019</v>
      </c>
      <c r="B54" s="316">
        <v>100</v>
      </c>
      <c r="C54" s="316"/>
      <c r="D54" s="316">
        <f t="shared" si="7"/>
        <v>50.89684362660335</v>
      </c>
      <c r="E54" s="316">
        <f t="shared" si="8"/>
        <v>0.485198854104834</v>
      </c>
      <c r="F54" s="316">
        <f t="shared" si="9"/>
        <v>14.432085064650165</v>
      </c>
      <c r="G54" s="316">
        <f t="shared" si="10"/>
        <v>35.97955970784835</v>
      </c>
    </row>
    <row r="55" spans="1:12" ht="15">
      <c r="A55" s="391" t="s">
        <v>635</v>
      </c>
      <c r="B55" s="391"/>
      <c r="C55" s="391"/>
      <c r="D55" s="391"/>
      <c r="E55" s="391"/>
      <c r="F55" s="391"/>
      <c r="G55" s="391"/>
      <c r="H55" s="181"/>
      <c r="I55" s="181"/>
      <c r="J55" s="181"/>
      <c r="K55" s="181"/>
      <c r="L55" s="181"/>
    </row>
    <row r="56" spans="1:7" ht="15.75">
      <c r="A56" s="439" t="s">
        <v>202</v>
      </c>
      <c r="B56" s="439"/>
      <c r="C56" s="439"/>
      <c r="D56" s="439"/>
      <c r="E56" s="439"/>
      <c r="F56" s="439"/>
      <c r="G56" s="439"/>
    </row>
    <row r="57" spans="1:7" ht="15.75" customHeight="1">
      <c r="A57" s="440" t="s">
        <v>203</v>
      </c>
      <c r="B57" s="440"/>
      <c r="C57" s="440"/>
      <c r="D57" s="440"/>
      <c r="E57" s="440"/>
      <c r="F57" s="440"/>
      <c r="G57" s="440"/>
    </row>
    <row r="58" spans="1:7" ht="15.75" customHeight="1">
      <c r="A58" s="460" t="s">
        <v>312</v>
      </c>
      <c r="B58" s="460"/>
      <c r="C58" s="460"/>
      <c r="D58" s="460"/>
      <c r="E58" s="460"/>
      <c r="F58" s="460"/>
      <c r="G58" s="460"/>
    </row>
    <row r="59" spans="1:7" ht="15">
      <c r="A59" s="440"/>
      <c r="B59" s="440"/>
      <c r="C59" s="440"/>
      <c r="D59" s="440"/>
      <c r="E59" s="440"/>
      <c r="F59" s="440"/>
      <c r="G59" s="440"/>
    </row>
  </sheetData>
  <sheetProtection/>
  <mergeCells count="10">
    <mergeCell ref="A55:G55"/>
    <mergeCell ref="A59:G59"/>
    <mergeCell ref="A57:G57"/>
    <mergeCell ref="A56:G56"/>
    <mergeCell ref="A1:G1"/>
    <mergeCell ref="A2:G2"/>
    <mergeCell ref="A30:G30"/>
    <mergeCell ref="A5:G5"/>
    <mergeCell ref="D3:G3"/>
    <mergeCell ref="A58:G58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r:id="rId2"/>
  <ignoredErrors>
    <ignoredError sqref="A31:A34 A6:A9" numberStoredAsText="1"/>
    <ignoredError sqref="E43 D14:D15 D41:D42 D38:G38 D13 D39:G39 E41:E42 F41:F42 G41:G42 E36:G37 D16:D19 G43:G44 E35:G35 G40 F40 E40 D40 D43 F43" unlockedFormula="1"/>
    <ignoredError sqref="D35 D36" numberStoredAsText="1" unlockedFormula="1"/>
  </ignoredErrors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"/>
  <sheetViews>
    <sheetView zoomScale="85" zoomScaleNormal="85" zoomScalePageLayoutView="0" workbookViewId="0" topLeftCell="A13">
      <selection activeCell="P27" sqref="P27"/>
    </sheetView>
  </sheetViews>
  <sheetFormatPr defaultColWidth="11.421875" defaultRowHeight="12.75"/>
  <cols>
    <col min="1" max="1" width="14.7109375" style="25" customWidth="1"/>
    <col min="2" max="2" width="7.7109375" style="25" bestFit="1" customWidth="1"/>
    <col min="3" max="3" width="18.7109375" style="25" customWidth="1"/>
    <col min="4" max="4" width="16.7109375" style="25" customWidth="1"/>
    <col min="5" max="5" width="14.57421875" style="25" customWidth="1"/>
    <col min="6" max="6" width="18.28125" style="25" bestFit="1" customWidth="1"/>
    <col min="7" max="7" width="18.140625" style="25" customWidth="1"/>
    <col min="8" max="8" width="17.28125" style="25" customWidth="1"/>
    <col min="9" max="16384" width="11.421875" style="25" customWidth="1"/>
  </cols>
  <sheetData>
    <row r="1" spans="1:8" ht="18">
      <c r="A1" s="445" t="s">
        <v>268</v>
      </c>
      <c r="B1" s="445"/>
      <c r="C1" s="445"/>
      <c r="D1" s="445"/>
      <c r="E1" s="445"/>
      <c r="F1" s="445"/>
      <c r="G1" s="445"/>
      <c r="H1" s="445"/>
    </row>
    <row r="2" spans="1:8" ht="15.75" thickBot="1">
      <c r="A2" s="390" t="s">
        <v>477</v>
      </c>
      <c r="B2" s="390"/>
      <c r="C2" s="390"/>
      <c r="D2" s="390"/>
      <c r="E2" s="390"/>
      <c r="F2" s="390"/>
      <c r="G2" s="390"/>
      <c r="H2" s="390"/>
    </row>
    <row r="3" spans="1:8" ht="93" customHeight="1">
      <c r="A3" s="194" t="s">
        <v>4</v>
      </c>
      <c r="B3" s="199" t="s">
        <v>134</v>
      </c>
      <c r="C3" s="213" t="s">
        <v>228</v>
      </c>
      <c r="D3" s="213" t="s">
        <v>224</v>
      </c>
      <c r="E3" s="213" t="s">
        <v>12</v>
      </c>
      <c r="F3" s="213" t="s">
        <v>225</v>
      </c>
      <c r="G3" s="213" t="s">
        <v>226</v>
      </c>
      <c r="H3" s="213" t="s">
        <v>227</v>
      </c>
    </row>
    <row r="4" spans="1:8" ht="15.75">
      <c r="A4" s="439" t="s">
        <v>15</v>
      </c>
      <c r="B4" s="439"/>
      <c r="C4" s="439"/>
      <c r="D4" s="439"/>
      <c r="E4" s="439"/>
      <c r="F4" s="439"/>
      <c r="G4" s="439"/>
      <c r="H4" s="439"/>
    </row>
    <row r="5" spans="1:8" ht="15.75" customHeight="1">
      <c r="A5" s="245" t="s">
        <v>57</v>
      </c>
      <c r="B5" s="299">
        <v>9053</v>
      </c>
      <c r="C5" s="191">
        <v>696</v>
      </c>
      <c r="D5" s="191">
        <v>8357</v>
      </c>
      <c r="E5" s="191" t="s">
        <v>118</v>
      </c>
      <c r="F5" s="191" t="s">
        <v>118</v>
      </c>
      <c r="G5" s="191" t="s">
        <v>118</v>
      </c>
      <c r="H5" s="191" t="s">
        <v>118</v>
      </c>
    </row>
    <row r="6" spans="1:8" ht="15.75" customHeight="1">
      <c r="A6" s="245" t="s">
        <v>58</v>
      </c>
      <c r="B6" s="299">
        <v>11107</v>
      </c>
      <c r="C6" s="191">
        <v>1634</v>
      </c>
      <c r="D6" s="191">
        <v>9473</v>
      </c>
      <c r="E6" s="191" t="s">
        <v>118</v>
      </c>
      <c r="F6" s="191" t="s">
        <v>118</v>
      </c>
      <c r="G6" s="191" t="s">
        <v>118</v>
      </c>
      <c r="H6" s="191" t="s">
        <v>118</v>
      </c>
    </row>
    <row r="7" spans="1:8" ht="15.75" customHeight="1">
      <c r="A7" s="245" t="s">
        <v>59</v>
      </c>
      <c r="B7" s="299">
        <v>12215</v>
      </c>
      <c r="C7" s="191" t="s">
        <v>118</v>
      </c>
      <c r="D7" s="191" t="s">
        <v>118</v>
      </c>
      <c r="E7" s="191" t="s">
        <v>118</v>
      </c>
      <c r="F7" s="191" t="s">
        <v>118</v>
      </c>
      <c r="G7" s="191" t="s">
        <v>118</v>
      </c>
      <c r="H7" s="191" t="s">
        <v>118</v>
      </c>
    </row>
    <row r="8" spans="1:8" ht="15.75" customHeight="1">
      <c r="A8" s="245" t="s">
        <v>60</v>
      </c>
      <c r="B8" s="299">
        <v>13674</v>
      </c>
      <c r="C8" s="191" t="s">
        <v>118</v>
      </c>
      <c r="D8" s="191" t="s">
        <v>118</v>
      </c>
      <c r="E8" s="191" t="s">
        <v>118</v>
      </c>
      <c r="F8" s="191" t="s">
        <v>118</v>
      </c>
      <c r="G8" s="191" t="s">
        <v>118</v>
      </c>
      <c r="H8" s="191" t="s">
        <v>118</v>
      </c>
    </row>
    <row r="9" spans="1:8" ht="15.75" customHeight="1">
      <c r="A9" s="187">
        <v>2000</v>
      </c>
      <c r="B9" s="299">
        <f>SUM(C9:H9)</f>
        <v>16138</v>
      </c>
      <c r="C9" s="191" t="s">
        <v>11</v>
      </c>
      <c r="D9" s="191" t="s">
        <v>11</v>
      </c>
      <c r="E9" s="191">
        <v>670</v>
      </c>
      <c r="F9" s="191">
        <v>8141</v>
      </c>
      <c r="G9" s="191">
        <v>3385</v>
      </c>
      <c r="H9" s="191">
        <v>3942</v>
      </c>
    </row>
    <row r="10" spans="1:8" ht="15.75" customHeight="1">
      <c r="A10" s="187">
        <v>2001</v>
      </c>
      <c r="B10" s="299">
        <v>16567</v>
      </c>
      <c r="C10" s="191" t="s">
        <v>11</v>
      </c>
      <c r="D10" s="191" t="s">
        <v>11</v>
      </c>
      <c r="E10" s="191">
        <v>701</v>
      </c>
      <c r="F10" s="191">
        <v>8333</v>
      </c>
      <c r="G10" s="191">
        <v>3493</v>
      </c>
      <c r="H10" s="191">
        <v>4040</v>
      </c>
    </row>
    <row r="11" spans="1:8" ht="15.75" customHeight="1">
      <c r="A11" s="187">
        <v>2002</v>
      </c>
      <c r="B11" s="299">
        <f aca="true" t="shared" si="0" ref="B11:B17">SUM(E11:H11)</f>
        <v>17000</v>
      </c>
      <c r="C11" s="191" t="s">
        <v>11</v>
      </c>
      <c r="D11" s="191" t="s">
        <v>11</v>
      </c>
      <c r="E11" s="191">
        <v>749</v>
      </c>
      <c r="F11" s="191">
        <v>8378</v>
      </c>
      <c r="G11" s="191">
        <v>3640</v>
      </c>
      <c r="H11" s="191">
        <v>4233</v>
      </c>
    </row>
    <row r="12" spans="1:8" ht="15.75" customHeight="1">
      <c r="A12" s="187">
        <v>2003</v>
      </c>
      <c r="B12" s="299">
        <f t="shared" si="0"/>
        <v>17320</v>
      </c>
      <c r="C12" s="191" t="s">
        <v>11</v>
      </c>
      <c r="D12" s="191" t="s">
        <v>11</v>
      </c>
      <c r="E12" s="191">
        <v>970</v>
      </c>
      <c r="F12" s="191">
        <v>8359</v>
      </c>
      <c r="G12" s="191">
        <v>3655</v>
      </c>
      <c r="H12" s="191">
        <v>4336</v>
      </c>
    </row>
    <row r="13" spans="1:8" ht="15.75" customHeight="1">
      <c r="A13" s="187">
        <v>2004</v>
      </c>
      <c r="B13" s="299">
        <f t="shared" si="0"/>
        <v>17615</v>
      </c>
      <c r="C13" s="191" t="s">
        <v>11</v>
      </c>
      <c r="D13" s="191" t="s">
        <v>11</v>
      </c>
      <c r="E13" s="191">
        <v>995</v>
      </c>
      <c r="F13" s="191">
        <v>8387</v>
      </c>
      <c r="G13" s="191">
        <f>3594+134</f>
        <v>3728</v>
      </c>
      <c r="H13" s="191">
        <v>4505</v>
      </c>
    </row>
    <row r="14" spans="1:8" ht="15.75" customHeight="1">
      <c r="A14" s="187">
        <v>2005</v>
      </c>
      <c r="B14" s="299">
        <f t="shared" si="0"/>
        <v>17807</v>
      </c>
      <c r="C14" s="191" t="s">
        <v>11</v>
      </c>
      <c r="D14" s="191" t="s">
        <v>11</v>
      </c>
      <c r="E14" s="191">
        <v>1082</v>
      </c>
      <c r="F14" s="191">
        <v>8429</v>
      </c>
      <c r="G14" s="191">
        <v>3554</v>
      </c>
      <c r="H14" s="191">
        <v>4742</v>
      </c>
    </row>
    <row r="15" spans="1:8" ht="15.75" customHeight="1">
      <c r="A15" s="187">
        <v>2006</v>
      </c>
      <c r="B15" s="299">
        <f t="shared" si="0"/>
        <v>17698</v>
      </c>
      <c r="C15" s="191" t="s">
        <v>11</v>
      </c>
      <c r="D15" s="191" t="s">
        <v>11</v>
      </c>
      <c r="E15" s="191">
        <v>944</v>
      </c>
      <c r="F15" s="191">
        <v>8321</v>
      </c>
      <c r="G15" s="191">
        <v>3524</v>
      </c>
      <c r="H15" s="191">
        <v>4909</v>
      </c>
    </row>
    <row r="16" spans="1:8" ht="15.75" customHeight="1">
      <c r="A16" s="187">
        <v>2007</v>
      </c>
      <c r="B16" s="299">
        <f t="shared" si="0"/>
        <v>17518</v>
      </c>
      <c r="C16" s="191" t="s">
        <v>11</v>
      </c>
      <c r="D16" s="191" t="s">
        <v>11</v>
      </c>
      <c r="E16" s="191">
        <v>964</v>
      </c>
      <c r="F16" s="191">
        <v>8284</v>
      </c>
      <c r="G16" s="191">
        <v>3186</v>
      </c>
      <c r="H16" s="191">
        <v>5084</v>
      </c>
    </row>
    <row r="17" spans="1:8" ht="15.75" customHeight="1">
      <c r="A17" s="187">
        <v>2008</v>
      </c>
      <c r="B17" s="299">
        <f t="shared" si="0"/>
        <v>17555</v>
      </c>
      <c r="C17" s="191" t="s">
        <v>11</v>
      </c>
      <c r="D17" s="191" t="s">
        <v>11</v>
      </c>
      <c r="E17" s="191">
        <v>482</v>
      </c>
      <c r="F17" s="191">
        <v>8310</v>
      </c>
      <c r="G17" s="191">
        <v>3366</v>
      </c>
      <c r="H17" s="191">
        <v>5397</v>
      </c>
    </row>
    <row r="18" spans="1:8" ht="15.75" customHeight="1">
      <c r="A18" s="187">
        <v>2009</v>
      </c>
      <c r="B18" s="299">
        <f aca="true" t="shared" si="1" ref="B18:B23">SUM(E18:H18)</f>
        <v>17963</v>
      </c>
      <c r="C18" s="191" t="s">
        <v>11</v>
      </c>
      <c r="D18" s="191" t="s">
        <v>11</v>
      </c>
      <c r="E18" s="191">
        <v>618</v>
      </c>
      <c r="F18" s="191">
        <v>8384</v>
      </c>
      <c r="G18" s="191">
        <v>3262</v>
      </c>
      <c r="H18" s="191">
        <v>5699</v>
      </c>
    </row>
    <row r="19" spans="1:8" ht="15.75" customHeight="1">
      <c r="A19" s="187">
        <v>2010</v>
      </c>
      <c r="B19" s="299">
        <f t="shared" si="1"/>
        <v>18071</v>
      </c>
      <c r="C19" s="191" t="s">
        <v>11</v>
      </c>
      <c r="D19" s="191" t="s">
        <v>11</v>
      </c>
      <c r="E19" s="191">
        <v>643</v>
      </c>
      <c r="F19" s="191">
        <v>8429</v>
      </c>
      <c r="G19" s="191">
        <v>3149</v>
      </c>
      <c r="H19" s="191">
        <v>5850</v>
      </c>
    </row>
    <row r="20" spans="1:8" ht="15.75" customHeight="1">
      <c r="A20" s="187">
        <v>2011</v>
      </c>
      <c r="B20" s="300">
        <f t="shared" si="1"/>
        <v>17749</v>
      </c>
      <c r="C20" s="192" t="s">
        <v>11</v>
      </c>
      <c r="D20" s="192" t="s">
        <v>11</v>
      </c>
      <c r="E20" s="192">
        <v>657</v>
      </c>
      <c r="F20" s="192">
        <v>8131</v>
      </c>
      <c r="G20" s="192">
        <v>2946</v>
      </c>
      <c r="H20" s="192">
        <v>6015</v>
      </c>
    </row>
    <row r="21" spans="1:8" ht="15.75" customHeight="1">
      <c r="A21" s="187">
        <v>2012</v>
      </c>
      <c r="B21" s="300">
        <f t="shared" si="1"/>
        <v>18004</v>
      </c>
      <c r="C21" s="192" t="s">
        <v>11</v>
      </c>
      <c r="D21" s="192" t="s">
        <v>11</v>
      </c>
      <c r="E21" s="192">
        <v>631</v>
      </c>
      <c r="F21" s="192">
        <v>8134</v>
      </c>
      <c r="G21" s="192">
        <v>2932</v>
      </c>
      <c r="H21" s="192">
        <v>6307</v>
      </c>
    </row>
    <row r="22" spans="1:8" ht="15.75" customHeight="1">
      <c r="A22" s="187">
        <v>2013</v>
      </c>
      <c r="B22" s="300">
        <f t="shared" si="1"/>
        <v>18318</v>
      </c>
      <c r="C22" s="192" t="s">
        <v>11</v>
      </c>
      <c r="D22" s="192" t="s">
        <v>11</v>
      </c>
      <c r="E22" s="192">
        <v>675</v>
      </c>
      <c r="F22" s="192">
        <v>8143</v>
      </c>
      <c r="G22" s="192">
        <v>2951</v>
      </c>
      <c r="H22" s="192">
        <v>6549</v>
      </c>
    </row>
    <row r="23" spans="1:8" ht="15.75" customHeight="1">
      <c r="A23" s="187">
        <v>2014</v>
      </c>
      <c r="B23" s="300">
        <f t="shared" si="1"/>
        <v>18531</v>
      </c>
      <c r="C23" s="192" t="s">
        <v>11</v>
      </c>
      <c r="D23" s="192" t="s">
        <v>11</v>
      </c>
      <c r="E23" s="192">
        <v>750</v>
      </c>
      <c r="F23" s="192">
        <v>8198</v>
      </c>
      <c r="G23" s="192">
        <v>2838</v>
      </c>
      <c r="H23" s="192">
        <v>6745</v>
      </c>
    </row>
    <row r="24" spans="1:8" ht="15.75" customHeight="1">
      <c r="A24" s="187">
        <v>2015</v>
      </c>
      <c r="B24" s="300">
        <f>SUM(E24:H24)</f>
        <v>18676</v>
      </c>
      <c r="C24" s="192" t="s">
        <v>11</v>
      </c>
      <c r="D24" s="192" t="s">
        <v>11</v>
      </c>
      <c r="E24" s="192">
        <v>716</v>
      </c>
      <c r="F24" s="192">
        <v>8246</v>
      </c>
      <c r="G24" s="192">
        <v>2792</v>
      </c>
      <c r="H24" s="192">
        <v>6922</v>
      </c>
    </row>
    <row r="25" spans="1:8" ht="15.75" customHeight="1">
      <c r="A25" s="187">
        <v>2016</v>
      </c>
      <c r="B25" s="300">
        <f>SUM(E25:H25)</f>
        <v>18810</v>
      </c>
      <c r="C25" s="192" t="s">
        <v>11</v>
      </c>
      <c r="D25" s="192" t="s">
        <v>11</v>
      </c>
      <c r="E25" s="192">
        <v>612</v>
      </c>
      <c r="F25" s="192">
        <v>8240</v>
      </c>
      <c r="G25" s="192">
        <v>2829</v>
      </c>
      <c r="H25" s="192">
        <v>7129</v>
      </c>
    </row>
    <row r="26" spans="1:8" ht="15.75" customHeight="1">
      <c r="A26" s="187">
        <v>2017</v>
      </c>
      <c r="B26" s="300">
        <f>SUM(E26:H26)</f>
        <v>18914</v>
      </c>
      <c r="C26" s="192" t="s">
        <v>11</v>
      </c>
      <c r="D26" s="192" t="s">
        <v>11</v>
      </c>
      <c r="E26" s="192">
        <v>454</v>
      </c>
      <c r="F26" s="192">
        <v>8267</v>
      </c>
      <c r="G26" s="192">
        <v>2854</v>
      </c>
      <c r="H26" s="192">
        <v>7339</v>
      </c>
    </row>
    <row r="27" spans="1:8" ht="15.75" customHeight="1">
      <c r="A27" s="187">
        <v>2018</v>
      </c>
      <c r="B27" s="300">
        <f>SUM(E27:H27)</f>
        <v>18965</v>
      </c>
      <c r="C27" s="192" t="s">
        <v>11</v>
      </c>
      <c r="D27" s="192" t="s">
        <v>11</v>
      </c>
      <c r="E27" s="192">
        <v>503</v>
      </c>
      <c r="F27" s="192">
        <v>8270</v>
      </c>
      <c r="G27" s="192">
        <v>2732</v>
      </c>
      <c r="H27" s="192">
        <v>7460</v>
      </c>
    </row>
    <row r="28" spans="1:8" ht="15.75" customHeight="1">
      <c r="A28" s="187">
        <v>2019</v>
      </c>
      <c r="B28" s="300">
        <f>SUM(E28:H28)</f>
        <v>19026</v>
      </c>
      <c r="C28" s="192" t="s">
        <v>11</v>
      </c>
      <c r="D28" s="192" t="s">
        <v>11</v>
      </c>
      <c r="E28" s="192">
        <v>484</v>
      </c>
      <c r="F28" s="192">
        <v>8281</v>
      </c>
      <c r="G28" s="192">
        <v>2681</v>
      </c>
      <c r="H28" s="192">
        <v>7580</v>
      </c>
    </row>
    <row r="29" spans="1:8" ht="15.75" customHeight="1">
      <c r="A29" s="439" t="s">
        <v>17</v>
      </c>
      <c r="B29" s="439"/>
      <c r="C29" s="439"/>
      <c r="D29" s="439"/>
      <c r="E29" s="439"/>
      <c r="F29" s="439"/>
      <c r="G29" s="439"/>
      <c r="H29" s="439"/>
    </row>
    <row r="30" spans="1:8" ht="15.75" customHeight="1">
      <c r="A30" s="245" t="s">
        <v>57</v>
      </c>
      <c r="B30" s="301">
        <v>54.4</v>
      </c>
      <c r="C30" s="193">
        <v>4.2</v>
      </c>
      <c r="D30" s="193">
        <v>50.2</v>
      </c>
      <c r="E30" s="193" t="s">
        <v>118</v>
      </c>
      <c r="F30" s="193" t="s">
        <v>118</v>
      </c>
      <c r="G30" s="193" t="s">
        <v>118</v>
      </c>
      <c r="H30" s="193" t="s">
        <v>118</v>
      </c>
    </row>
    <row r="31" spans="1:8" ht="15.75" customHeight="1">
      <c r="A31" s="245" t="s">
        <v>58</v>
      </c>
      <c r="B31" s="301">
        <v>52</v>
      </c>
      <c r="C31" s="193">
        <v>7.6</v>
      </c>
      <c r="D31" s="193">
        <v>44.4</v>
      </c>
      <c r="E31" s="193" t="s">
        <v>118</v>
      </c>
      <c r="F31" s="193" t="s">
        <v>118</v>
      </c>
      <c r="G31" s="193" t="s">
        <v>118</v>
      </c>
      <c r="H31" s="193" t="s">
        <v>118</v>
      </c>
    </row>
    <row r="32" spans="1:8" ht="15.75" customHeight="1">
      <c r="A32" s="245" t="s">
        <v>59</v>
      </c>
      <c r="B32" s="301">
        <v>48.4</v>
      </c>
      <c r="C32" s="193" t="s">
        <v>118</v>
      </c>
      <c r="D32" s="193" t="s">
        <v>118</v>
      </c>
      <c r="E32" s="193" t="s">
        <v>118</v>
      </c>
      <c r="F32" s="193" t="s">
        <v>118</v>
      </c>
      <c r="G32" s="193" t="s">
        <v>118</v>
      </c>
      <c r="H32" s="193" t="s">
        <v>118</v>
      </c>
    </row>
    <row r="33" spans="1:8" ht="15.75" customHeight="1">
      <c r="A33" s="245" t="s">
        <v>60</v>
      </c>
      <c r="B33" s="301">
        <v>47.1</v>
      </c>
      <c r="C33" s="193" t="s">
        <v>118</v>
      </c>
      <c r="D33" s="193" t="s">
        <v>118</v>
      </c>
      <c r="E33" s="193" t="s">
        <v>118</v>
      </c>
      <c r="F33" s="193" t="s">
        <v>118</v>
      </c>
      <c r="G33" s="193" t="s">
        <v>118</v>
      </c>
      <c r="H33" s="193" t="s">
        <v>118</v>
      </c>
    </row>
    <row r="34" spans="1:8" ht="15.75" customHeight="1">
      <c r="A34" s="187">
        <v>2000</v>
      </c>
      <c r="B34" s="301">
        <f>SUM(C34:H34)</f>
        <v>49.1</v>
      </c>
      <c r="C34" s="193" t="s">
        <v>11</v>
      </c>
      <c r="D34" s="193" t="s">
        <v>11</v>
      </c>
      <c r="E34" s="193">
        <v>2</v>
      </c>
      <c r="F34" s="193">
        <v>24.8</v>
      </c>
      <c r="G34" s="193">
        <v>10.3</v>
      </c>
      <c r="H34" s="193">
        <v>12</v>
      </c>
    </row>
    <row r="35" spans="1:8" ht="15.75" customHeight="1">
      <c r="A35" s="187">
        <v>2001</v>
      </c>
      <c r="B35" s="301">
        <f>SUM(C35:H35)</f>
        <v>49.41685309470544</v>
      </c>
      <c r="C35" s="193" t="s">
        <v>11</v>
      </c>
      <c r="D35" s="193" t="s">
        <v>11</v>
      </c>
      <c r="E35" s="193">
        <f>E10/33525*100</f>
        <v>2.090976882923192</v>
      </c>
      <c r="F35" s="193">
        <f>F10/33525*100</f>
        <v>24.856077554064132</v>
      </c>
      <c r="G35" s="193">
        <f>G10/33525*100</f>
        <v>10.419090231170767</v>
      </c>
      <c r="H35" s="193">
        <f>H10/33525*100</f>
        <v>12.050708426547354</v>
      </c>
    </row>
    <row r="36" spans="1:8" ht="15.75" customHeight="1">
      <c r="A36" s="187">
        <v>2002</v>
      </c>
      <c r="B36" s="301">
        <f aca="true" t="shared" si="2" ref="B36:B42">SUM(E36:H36)</f>
        <v>50.20228568053628</v>
      </c>
      <c r="C36" s="193" t="s">
        <v>11</v>
      </c>
      <c r="D36" s="193" t="s">
        <v>11</v>
      </c>
      <c r="E36" s="193">
        <f>E11/33863*100</f>
        <v>2.211853645571863</v>
      </c>
      <c r="F36" s="193">
        <f>F11/33863*100</f>
        <v>24.740867613619585</v>
      </c>
      <c r="G36" s="193">
        <f>G11/33863*100</f>
        <v>10.749195286891297</v>
      </c>
      <c r="H36" s="193">
        <f>H11/33863*100</f>
        <v>12.500369134453534</v>
      </c>
    </row>
    <row r="37" spans="1:8" ht="15.75" customHeight="1">
      <c r="A37" s="187">
        <v>2003</v>
      </c>
      <c r="B37" s="301">
        <f>SUM(E37:H37)</f>
        <v>50.50446142182306</v>
      </c>
      <c r="C37" s="193" t="s">
        <v>11</v>
      </c>
      <c r="D37" s="193" t="s">
        <v>11</v>
      </c>
      <c r="E37" s="193">
        <f>E12/34294*100</f>
        <v>2.8284831165801596</v>
      </c>
      <c r="F37" s="193">
        <f>F12/34294*100</f>
        <v>24.374526156178923</v>
      </c>
      <c r="G37" s="193">
        <f>G12/34294*100</f>
        <v>10.657841021753077</v>
      </c>
      <c r="H37" s="193">
        <f>H12/34294*100</f>
        <v>12.6436111273109</v>
      </c>
    </row>
    <row r="38" spans="1:8" ht="15.75" customHeight="1">
      <c r="A38" s="187">
        <v>2004</v>
      </c>
      <c r="B38" s="301">
        <f>SUM(E38:H38)</f>
        <v>50.91040462427746</v>
      </c>
      <c r="C38" s="193" t="s">
        <v>11</v>
      </c>
      <c r="D38" s="193" t="s">
        <v>11</v>
      </c>
      <c r="E38" s="193">
        <f>E13/34600*100</f>
        <v>2.8757225433526012</v>
      </c>
      <c r="F38" s="193">
        <f>F13/34600*100</f>
        <v>24.239884393063583</v>
      </c>
      <c r="G38" s="193">
        <f>G13/34600*100</f>
        <v>10.77456647398844</v>
      </c>
      <c r="H38" s="193">
        <f>H13/34600*100</f>
        <v>13.020231213872831</v>
      </c>
    </row>
    <row r="39" spans="1:8" ht="15.75" customHeight="1">
      <c r="A39" s="187">
        <v>2005</v>
      </c>
      <c r="B39" s="301">
        <f t="shared" si="2"/>
        <v>51.0156138089099</v>
      </c>
      <c r="C39" s="193" t="s">
        <v>11</v>
      </c>
      <c r="D39" s="193" t="s">
        <v>11</v>
      </c>
      <c r="E39" s="193">
        <f>E14/34905*100</f>
        <v>3.099842429451368</v>
      </c>
      <c r="F39" s="193">
        <f>F14/34905*100</f>
        <v>24.148402807620684</v>
      </c>
      <c r="G39" s="193">
        <f>G14/34905*100</f>
        <v>10.18192236069331</v>
      </c>
      <c r="H39" s="193">
        <f>H14/34905*100</f>
        <v>13.585446211144536</v>
      </c>
    </row>
    <row r="40" spans="1:8" ht="15.75" customHeight="1">
      <c r="A40" s="187">
        <v>2006</v>
      </c>
      <c r="B40" s="301">
        <f t="shared" si="2"/>
        <v>50.32415832575068</v>
      </c>
      <c r="C40" s="193" t="s">
        <v>11</v>
      </c>
      <c r="D40" s="193" t="s">
        <v>11</v>
      </c>
      <c r="E40" s="193">
        <f>E15/35168*100</f>
        <v>2.684258416742493</v>
      </c>
      <c r="F40" s="193">
        <f>F15/35168*100</f>
        <v>23.660714285714285</v>
      </c>
      <c r="G40" s="193">
        <f>G15/35168*100</f>
        <v>10.020473157415832</v>
      </c>
      <c r="H40" s="193">
        <f>H15/35168*100</f>
        <v>13.95871246587807</v>
      </c>
    </row>
    <row r="41" spans="1:8" ht="15.75" customHeight="1">
      <c r="A41" s="187">
        <v>2007</v>
      </c>
      <c r="B41" s="301">
        <f t="shared" si="2"/>
        <v>49.547460119923066</v>
      </c>
      <c r="C41" s="193" t="s">
        <v>11</v>
      </c>
      <c r="D41" s="193" t="s">
        <v>11</v>
      </c>
      <c r="E41" s="193">
        <f>E16/35356*100</f>
        <v>2.726552777463514</v>
      </c>
      <c r="F41" s="193">
        <f>F16/35356*100</f>
        <v>23.43025229098314</v>
      </c>
      <c r="G41" s="193">
        <f>G16/35356*100</f>
        <v>9.011200362031904</v>
      </c>
      <c r="H41" s="193">
        <f>H16/35356*100</f>
        <v>14.379454689444508</v>
      </c>
    </row>
    <row r="42" spans="1:8" ht="15.75" customHeight="1">
      <c r="A42" s="187">
        <v>2008</v>
      </c>
      <c r="B42" s="301">
        <f t="shared" si="2"/>
        <v>49.32703925370198</v>
      </c>
      <c r="C42" s="193" t="s">
        <v>11</v>
      </c>
      <c r="D42" s="193" t="s">
        <v>11</v>
      </c>
      <c r="E42" s="193">
        <f>E17/35589*100</f>
        <v>1.3543510635308664</v>
      </c>
      <c r="F42" s="193">
        <f>F17/35589*100</f>
        <v>23.349911489505185</v>
      </c>
      <c r="G42" s="193">
        <f>G17/35589*100</f>
        <v>9.457978588889826</v>
      </c>
      <c r="H42" s="193">
        <f>H17/35589*100</f>
        <v>15.16479811177611</v>
      </c>
    </row>
    <row r="43" spans="1:8" ht="15.75" customHeight="1">
      <c r="A43" s="187">
        <v>2009</v>
      </c>
      <c r="B43" s="301">
        <f aca="true" t="shared" si="3" ref="B43:B48">SUM(E43:H43)</f>
        <v>50.044575695102246</v>
      </c>
      <c r="C43" s="193" t="s">
        <v>11</v>
      </c>
      <c r="D43" s="193" t="s">
        <v>11</v>
      </c>
      <c r="E43" s="193">
        <f>E18/35894*100</f>
        <v>1.7217362233242324</v>
      </c>
      <c r="F43" s="193">
        <f>F18/35894*100</f>
        <v>23.357664233576642</v>
      </c>
      <c r="G43" s="193">
        <f>G18/35894*100</f>
        <v>9.0878698389703</v>
      </c>
      <c r="H43" s="193">
        <f>H18/35894*100</f>
        <v>15.877305399231071</v>
      </c>
    </row>
    <row r="44" spans="1:8" ht="15.75" customHeight="1">
      <c r="A44" s="187">
        <v>2010</v>
      </c>
      <c r="B44" s="301">
        <f t="shared" si="3"/>
        <v>49.99031785111622</v>
      </c>
      <c r="C44" s="193" t="s">
        <v>11</v>
      </c>
      <c r="D44" s="193" t="s">
        <v>11</v>
      </c>
      <c r="E44" s="193">
        <f>E19/36149*100</f>
        <v>1.7787490663642147</v>
      </c>
      <c r="F44" s="193">
        <f>F19/36149*100</f>
        <v>23.31738084041052</v>
      </c>
      <c r="G44" s="193">
        <f>G19/36149*100</f>
        <v>8.711167667155385</v>
      </c>
      <c r="H44" s="193">
        <f>H19/36149*100</f>
        <v>16.183020277186092</v>
      </c>
    </row>
    <row r="45" spans="1:8" ht="15.75" customHeight="1">
      <c r="A45" s="187">
        <v>2011</v>
      </c>
      <c r="B45" s="301">
        <f t="shared" si="3"/>
        <v>48.66072652501714</v>
      </c>
      <c r="C45" s="193" t="s">
        <v>11</v>
      </c>
      <c r="D45" s="193" t="s">
        <v>11</v>
      </c>
      <c r="E45" s="193">
        <f>E20/36475*100</f>
        <v>1.8012337217272103</v>
      </c>
      <c r="F45" s="193">
        <f>F20/36475*100</f>
        <v>22.291980808773133</v>
      </c>
      <c r="G45" s="193">
        <f>G20/36475*100</f>
        <v>8.07676490747087</v>
      </c>
      <c r="H45" s="193">
        <f>H20/36475*100</f>
        <v>16.49074708704592</v>
      </c>
    </row>
    <row r="46" spans="1:8" ht="15.75" customHeight="1">
      <c r="A46" s="187">
        <v>2012</v>
      </c>
      <c r="B46" s="301">
        <f t="shared" si="3"/>
        <v>48.87344589825723</v>
      </c>
      <c r="C46" s="193" t="s">
        <v>11</v>
      </c>
      <c r="D46" s="193" t="s">
        <v>11</v>
      </c>
      <c r="E46" s="193">
        <f>E21/36838*100</f>
        <v>1.7129051522883978</v>
      </c>
      <c r="F46" s="193">
        <f>F21/36838*100</f>
        <v>22.080460394158205</v>
      </c>
      <c r="G46" s="193">
        <f>G21/36838*100</f>
        <v>7.959172593517564</v>
      </c>
      <c r="H46" s="193">
        <f>H21/36838*100</f>
        <v>17.120907758293065</v>
      </c>
    </row>
    <row r="47" spans="1:8" ht="15.75" customHeight="1">
      <c r="A47" s="187">
        <v>2013</v>
      </c>
      <c r="B47" s="301">
        <f t="shared" si="3"/>
        <v>49.33609846750518</v>
      </c>
      <c r="C47" s="193" t="s">
        <v>11</v>
      </c>
      <c r="D47" s="193" t="s">
        <v>11</v>
      </c>
      <c r="E47" s="193">
        <f>E22/37129*100</f>
        <v>1.8179859409087236</v>
      </c>
      <c r="F47" s="193">
        <f>F22/37129*100</f>
        <v>21.931643728621832</v>
      </c>
      <c r="G47" s="193">
        <f>G22/37129*100</f>
        <v>7.947965202402435</v>
      </c>
      <c r="H47" s="193">
        <f>H22/37129*100</f>
        <v>17.638503595572192</v>
      </c>
    </row>
    <row r="48" spans="1:8" ht="15.75" customHeight="1">
      <c r="A48" s="187">
        <v>2014</v>
      </c>
      <c r="B48" s="301">
        <f t="shared" si="3"/>
        <v>49.59321308141091</v>
      </c>
      <c r="C48" s="193" t="s">
        <v>11</v>
      </c>
      <c r="D48" s="193" t="s">
        <v>11</v>
      </c>
      <c r="E48" s="193">
        <f>E23/37366*100</f>
        <v>2.0071722956698603</v>
      </c>
      <c r="F48" s="193">
        <f>F23/37366*100</f>
        <v>21.939731306535354</v>
      </c>
      <c r="G48" s="193">
        <f>G23/37366*100</f>
        <v>7.5951399668147515</v>
      </c>
      <c r="H48" s="193">
        <f>H23/37366*100</f>
        <v>18.051169512390945</v>
      </c>
    </row>
    <row r="49" spans="1:8" ht="15.75" customHeight="1">
      <c r="A49" s="187">
        <v>2015</v>
      </c>
      <c r="B49" s="301">
        <f>SUM(E49:H49)</f>
        <v>49.64116740205199</v>
      </c>
      <c r="C49" s="193" t="s">
        <v>11</v>
      </c>
      <c r="D49" s="193" t="s">
        <v>11</v>
      </c>
      <c r="E49" s="193">
        <f>E24/37622*100</f>
        <v>1.9031417787464782</v>
      </c>
      <c r="F49" s="193">
        <f>F24/37622*100</f>
        <v>21.918026686513212</v>
      </c>
      <c r="G49" s="193">
        <f>G24/37622*100</f>
        <v>7.421189729413641</v>
      </c>
      <c r="H49" s="193">
        <f>H24/37622*100</f>
        <v>18.39880920737866</v>
      </c>
    </row>
    <row r="50" spans="1:8" ht="15.75" customHeight="1">
      <c r="A50" s="187">
        <v>2016</v>
      </c>
      <c r="B50" s="301">
        <f>SUM(E50:H50)</f>
        <v>49.74874371859296</v>
      </c>
      <c r="C50" s="193" t="s">
        <v>11</v>
      </c>
      <c r="D50" s="193" t="s">
        <v>11</v>
      </c>
      <c r="E50" s="193">
        <f>E25/37810*100</f>
        <v>1.6186194128537426</v>
      </c>
      <c r="F50" s="193">
        <f>F25/37810*100</f>
        <v>21.793176408357578</v>
      </c>
      <c r="G50" s="193">
        <f>G25/37810*100</f>
        <v>7.4821475800052895</v>
      </c>
      <c r="H50" s="193">
        <f>H25/37810*100</f>
        <v>18.854800317376355</v>
      </c>
    </row>
    <row r="51" spans="1:8" ht="15.75" customHeight="1">
      <c r="A51" s="187">
        <v>2017</v>
      </c>
      <c r="B51" s="301">
        <f>SUM(E51:H51)</f>
        <v>49.62480978118277</v>
      </c>
      <c r="C51" s="193" t="s">
        <v>11</v>
      </c>
      <c r="D51" s="193" t="s">
        <v>11</v>
      </c>
      <c r="E51" s="193">
        <f>E26/38114*100</f>
        <v>1.1911633520491158</v>
      </c>
      <c r="F51" s="193">
        <f>F26/38114*100</f>
        <v>21.690192580154275</v>
      </c>
      <c r="G51" s="193">
        <f>G26/38114*100</f>
        <v>7.4880621294012695</v>
      </c>
      <c r="H51" s="193">
        <f>H26/38114*100</f>
        <v>19.255391719578107</v>
      </c>
    </row>
    <row r="52" spans="1:8" ht="15.75" customHeight="1">
      <c r="A52" s="187">
        <v>2018</v>
      </c>
      <c r="B52" s="301">
        <f>SUM(E52:H52)</f>
        <v>49.41633227369847</v>
      </c>
      <c r="C52" s="193" t="s">
        <v>11</v>
      </c>
      <c r="D52" s="193" t="s">
        <v>11</v>
      </c>
      <c r="E52" s="193">
        <f>E27/38378*100</f>
        <v>1.310646724686018</v>
      </c>
      <c r="F52" s="193">
        <f>F27/38378*100</f>
        <v>21.548804002292982</v>
      </c>
      <c r="G52" s="193">
        <f>G27/38378*100</f>
        <v>7.118661733284694</v>
      </c>
      <c r="H52" s="193">
        <f>H27/38378*100</f>
        <v>19.43821981343478</v>
      </c>
    </row>
    <row r="53" spans="1:8" ht="15.75" customHeight="1" thickBot="1">
      <c r="A53" s="174">
        <v>2019</v>
      </c>
      <c r="B53" s="298">
        <f>SUM(E53:H53)</f>
        <v>49.103156373396644</v>
      </c>
      <c r="C53" s="200" t="s">
        <v>11</v>
      </c>
      <c r="D53" s="200" t="s">
        <v>11</v>
      </c>
      <c r="E53" s="200">
        <f>E28/38747*100</f>
        <v>1.249128964823083</v>
      </c>
      <c r="F53" s="200">
        <f>F28/38747*100</f>
        <v>21.371977185330476</v>
      </c>
      <c r="G53" s="200">
        <f>G28/38747*100</f>
        <v>6.919245360931169</v>
      </c>
      <c r="H53" s="200">
        <f>H28/38747*100</f>
        <v>19.56280486231192</v>
      </c>
    </row>
    <row r="54" spans="1:8" ht="15.75" customHeight="1">
      <c r="A54" s="391" t="s">
        <v>635</v>
      </c>
      <c r="B54" s="391"/>
      <c r="C54" s="391"/>
      <c r="D54" s="391"/>
      <c r="E54" s="391"/>
      <c r="F54" s="391"/>
      <c r="G54" s="391"/>
      <c r="H54" s="391"/>
    </row>
    <row r="55" spans="1:8" ht="15.75" customHeight="1">
      <c r="A55" s="187"/>
      <c r="B55" s="193"/>
      <c r="C55" s="193"/>
      <c r="D55" s="193"/>
      <c r="E55" s="193"/>
      <c r="F55" s="193"/>
      <c r="G55" s="193"/>
      <c r="H55" s="193"/>
    </row>
    <row r="56" spans="1:8" ht="15.75" customHeight="1">
      <c r="A56" s="439" t="s">
        <v>202</v>
      </c>
      <c r="B56" s="439"/>
      <c r="C56" s="439"/>
      <c r="D56" s="439"/>
      <c r="E56" s="439"/>
      <c r="F56" s="439"/>
      <c r="G56" s="439"/>
      <c r="H56" s="439"/>
    </row>
    <row r="57" spans="1:8" ht="15.75" customHeight="1">
      <c r="A57" s="440" t="s">
        <v>203</v>
      </c>
      <c r="B57" s="440"/>
      <c r="C57" s="440"/>
      <c r="D57" s="440"/>
      <c r="E57" s="440"/>
      <c r="F57" s="440"/>
      <c r="G57" s="440"/>
      <c r="H57" s="440"/>
    </row>
  </sheetData>
  <sheetProtection/>
  <mergeCells count="7">
    <mergeCell ref="A1:H1"/>
    <mergeCell ref="A2:H2"/>
    <mergeCell ref="A56:H56"/>
    <mergeCell ref="A57:H57"/>
    <mergeCell ref="A29:H29"/>
    <mergeCell ref="A4:H4"/>
    <mergeCell ref="A54:H54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landscape" paperSize="9" scale="64" r:id="rId2"/>
  <ignoredErrors>
    <ignoredError sqref="A30:A33 A5:A8" numberStoredAsText="1"/>
  </ignoredError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zoomScale="85" zoomScaleNormal="85" zoomScalePageLayoutView="0" workbookViewId="0" topLeftCell="A1">
      <selection activeCell="T49" sqref="T49"/>
    </sheetView>
  </sheetViews>
  <sheetFormatPr defaultColWidth="11.421875" defaultRowHeight="12.75"/>
  <cols>
    <col min="1" max="1" width="6.57421875" style="42" bestFit="1" customWidth="1"/>
    <col min="2" max="2" width="17.57421875" style="42" customWidth="1"/>
    <col min="3" max="3" width="7.7109375" style="42" bestFit="1" customWidth="1"/>
    <col min="4" max="4" width="9.28125" style="42" bestFit="1" customWidth="1"/>
    <col min="5" max="5" width="8.8515625" style="42" bestFit="1" customWidth="1"/>
    <col min="6" max="6" width="14.140625" style="42" bestFit="1" customWidth="1"/>
    <col min="7" max="7" width="9.28125" style="42" bestFit="1" customWidth="1"/>
    <col min="8" max="8" width="9.7109375" style="42" bestFit="1" customWidth="1"/>
    <col min="9" max="9" width="9.00390625" style="42" bestFit="1" customWidth="1"/>
    <col min="10" max="10" width="9.28125" style="42" bestFit="1" customWidth="1"/>
    <col min="11" max="11" width="10.28125" style="42" bestFit="1" customWidth="1"/>
    <col min="12" max="12" width="9.28125" style="42" bestFit="1" customWidth="1"/>
    <col min="13" max="13" width="15.140625" style="42" bestFit="1" customWidth="1"/>
    <col min="14" max="14" width="19.28125" style="42" bestFit="1" customWidth="1"/>
    <col min="15" max="16384" width="11.421875" style="42" customWidth="1"/>
  </cols>
  <sheetData>
    <row r="1" spans="1:14" ht="18" customHeight="1">
      <c r="A1" s="445" t="s">
        <v>336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ht="15.75" customHeight="1" thickBot="1">
      <c r="A2" s="390" t="s">
        <v>478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15" customHeight="1">
      <c r="A3" s="260"/>
      <c r="B3" s="379" t="s">
        <v>134</v>
      </c>
      <c r="C3" s="463" t="s">
        <v>122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359"/>
    </row>
    <row r="4" spans="1:14" ht="15">
      <c r="A4" s="221" t="s">
        <v>4</v>
      </c>
      <c r="B4" s="195" t="s">
        <v>74</v>
      </c>
      <c r="C4" s="195" t="s">
        <v>123</v>
      </c>
      <c r="D4" s="195" t="s">
        <v>124</v>
      </c>
      <c r="E4" s="195" t="s">
        <v>125</v>
      </c>
      <c r="F4" s="195" t="s">
        <v>126</v>
      </c>
      <c r="G4" s="195" t="s">
        <v>127</v>
      </c>
      <c r="H4" s="195" t="s">
        <v>128</v>
      </c>
      <c r="I4" s="195" t="s">
        <v>129</v>
      </c>
      <c r="J4" s="195" t="s">
        <v>130</v>
      </c>
      <c r="K4" s="195" t="s">
        <v>131</v>
      </c>
      <c r="L4" s="195" t="s">
        <v>132</v>
      </c>
      <c r="M4" s="195" t="s">
        <v>133</v>
      </c>
      <c r="N4" s="222" t="s">
        <v>521</v>
      </c>
    </row>
    <row r="5" spans="1:14" ht="15.75" customHeight="1">
      <c r="A5" s="461" t="s">
        <v>522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1:14" ht="15.75" customHeight="1">
      <c r="A6" s="246">
        <v>1995</v>
      </c>
      <c r="B6" s="319">
        <f aca="true" t="shared" si="0" ref="B6:B17">SUM(C6:M6)</f>
        <v>18840</v>
      </c>
      <c r="C6" s="247">
        <v>2670</v>
      </c>
      <c r="D6" s="247">
        <v>2209</v>
      </c>
      <c r="E6" s="247">
        <v>2619</v>
      </c>
      <c r="F6" s="247">
        <v>1863</v>
      </c>
      <c r="G6" s="247">
        <v>2890</v>
      </c>
      <c r="H6" s="247">
        <v>239</v>
      </c>
      <c r="I6" s="247">
        <v>2159</v>
      </c>
      <c r="J6" s="247">
        <v>1791</v>
      </c>
      <c r="K6" s="247">
        <v>732</v>
      </c>
      <c r="L6" s="247">
        <v>1102</v>
      </c>
      <c r="M6" s="247">
        <v>566</v>
      </c>
      <c r="N6" s="247">
        <v>42</v>
      </c>
    </row>
    <row r="7" spans="1:14" ht="15.75" customHeight="1">
      <c r="A7" s="246">
        <v>2000</v>
      </c>
      <c r="B7" s="319">
        <f t="shared" si="0"/>
        <v>21543</v>
      </c>
      <c r="C7" s="247">
        <v>2784</v>
      </c>
      <c r="D7" s="247">
        <v>2752</v>
      </c>
      <c r="E7" s="247">
        <v>3048</v>
      </c>
      <c r="F7" s="247">
        <v>2034</v>
      </c>
      <c r="G7" s="247">
        <v>3318</v>
      </c>
      <c r="H7" s="247">
        <v>281</v>
      </c>
      <c r="I7" s="247">
        <v>2440</v>
      </c>
      <c r="J7" s="247">
        <v>2077</v>
      </c>
      <c r="K7" s="247">
        <v>820</v>
      </c>
      <c r="L7" s="247">
        <v>1279</v>
      </c>
      <c r="M7" s="247">
        <v>710</v>
      </c>
      <c r="N7" s="247">
        <v>29</v>
      </c>
    </row>
    <row r="8" spans="1:14" ht="15.75" customHeight="1">
      <c r="A8" s="246">
        <v>2005</v>
      </c>
      <c r="B8" s="319">
        <f t="shared" si="0"/>
        <v>22988</v>
      </c>
      <c r="C8" s="247">
        <v>2877</v>
      </c>
      <c r="D8" s="247">
        <v>3002</v>
      </c>
      <c r="E8" s="247">
        <v>3189</v>
      </c>
      <c r="F8" s="247">
        <v>2024</v>
      </c>
      <c r="G8" s="247">
        <v>3558</v>
      </c>
      <c r="H8" s="247">
        <v>284</v>
      </c>
      <c r="I8" s="247">
        <v>2646</v>
      </c>
      <c r="J8" s="247">
        <v>2263</v>
      </c>
      <c r="K8" s="247">
        <v>977</v>
      </c>
      <c r="L8" s="247">
        <v>1430</v>
      </c>
      <c r="M8" s="247">
        <v>738</v>
      </c>
      <c r="N8" s="247">
        <v>23</v>
      </c>
    </row>
    <row r="9" spans="1:14" ht="15.75" customHeight="1">
      <c r="A9" s="246">
        <v>2010</v>
      </c>
      <c r="B9" s="319">
        <f t="shared" si="0"/>
        <v>24145</v>
      </c>
      <c r="C9" s="247">
        <v>3071</v>
      </c>
      <c r="D9" s="247">
        <v>3187</v>
      </c>
      <c r="E9" s="247">
        <v>3297</v>
      </c>
      <c r="F9" s="247">
        <v>2049</v>
      </c>
      <c r="G9" s="247">
        <v>3600</v>
      </c>
      <c r="H9" s="247">
        <v>319</v>
      </c>
      <c r="I9" s="247">
        <v>2772</v>
      </c>
      <c r="J9" s="247">
        <v>2498</v>
      </c>
      <c r="K9" s="247">
        <v>1117</v>
      </c>
      <c r="L9" s="247">
        <v>1466</v>
      </c>
      <c r="M9" s="247">
        <v>769</v>
      </c>
      <c r="N9" s="247">
        <v>21</v>
      </c>
    </row>
    <row r="10" spans="1:14" ht="15.75" customHeight="1">
      <c r="A10" s="246">
        <v>2011</v>
      </c>
      <c r="B10" s="320">
        <f t="shared" si="0"/>
        <v>24331</v>
      </c>
      <c r="C10" s="248">
        <v>3090</v>
      </c>
      <c r="D10" s="248">
        <v>3193</v>
      </c>
      <c r="E10" s="248">
        <v>3313</v>
      </c>
      <c r="F10" s="248">
        <v>2063</v>
      </c>
      <c r="G10" s="248">
        <v>3646</v>
      </c>
      <c r="H10" s="248">
        <v>323</v>
      </c>
      <c r="I10" s="248">
        <v>2771</v>
      </c>
      <c r="J10" s="248">
        <v>2493</v>
      </c>
      <c r="K10" s="248">
        <v>1142</v>
      </c>
      <c r="L10" s="248">
        <v>1508</v>
      </c>
      <c r="M10" s="248">
        <v>789</v>
      </c>
      <c r="N10" s="248">
        <v>20</v>
      </c>
    </row>
    <row r="11" spans="1:14" ht="15.75" customHeight="1">
      <c r="A11" s="246">
        <v>2012</v>
      </c>
      <c r="B11" s="320">
        <f t="shared" si="0"/>
        <v>24501</v>
      </c>
      <c r="C11" s="248">
        <v>3056</v>
      </c>
      <c r="D11" s="248">
        <v>3207</v>
      </c>
      <c r="E11" s="248">
        <v>3323</v>
      </c>
      <c r="F11" s="248">
        <v>2086</v>
      </c>
      <c r="G11" s="248">
        <v>3692</v>
      </c>
      <c r="H11" s="248">
        <v>326</v>
      </c>
      <c r="I11" s="248">
        <v>2809</v>
      </c>
      <c r="J11" s="248">
        <v>2562</v>
      </c>
      <c r="K11" s="248">
        <v>1128</v>
      </c>
      <c r="L11" s="248">
        <v>1518</v>
      </c>
      <c r="M11" s="248">
        <v>794</v>
      </c>
      <c r="N11" s="248">
        <v>20</v>
      </c>
    </row>
    <row r="12" spans="1:14" ht="15.75" customHeight="1">
      <c r="A12" s="246">
        <v>2013</v>
      </c>
      <c r="B12" s="320">
        <f t="shared" si="0"/>
        <v>24610</v>
      </c>
      <c r="C12" s="248">
        <v>3124</v>
      </c>
      <c r="D12" s="248">
        <v>3237</v>
      </c>
      <c r="E12" s="248">
        <v>3346</v>
      </c>
      <c r="F12" s="248">
        <v>2069</v>
      </c>
      <c r="G12" s="248">
        <v>3695</v>
      </c>
      <c r="H12" s="248">
        <v>318</v>
      </c>
      <c r="I12" s="248">
        <v>2802</v>
      </c>
      <c r="J12" s="248">
        <v>2573</v>
      </c>
      <c r="K12" s="248">
        <v>1136</v>
      </c>
      <c r="L12" s="248">
        <v>1531</v>
      </c>
      <c r="M12" s="248">
        <v>779</v>
      </c>
      <c r="N12" s="248">
        <v>20</v>
      </c>
    </row>
    <row r="13" spans="1:14" ht="15.75" customHeight="1">
      <c r="A13" s="246">
        <v>2014</v>
      </c>
      <c r="B13" s="320">
        <f t="shared" si="0"/>
        <v>24787</v>
      </c>
      <c r="C13" s="248">
        <v>3126</v>
      </c>
      <c r="D13" s="248">
        <v>3261</v>
      </c>
      <c r="E13" s="248">
        <v>3348</v>
      </c>
      <c r="F13" s="248">
        <v>2075</v>
      </c>
      <c r="G13" s="248">
        <v>3723</v>
      </c>
      <c r="H13" s="248">
        <v>323</v>
      </c>
      <c r="I13" s="248">
        <v>2811</v>
      </c>
      <c r="J13" s="248">
        <v>2613</v>
      </c>
      <c r="K13" s="248">
        <v>1133</v>
      </c>
      <c r="L13" s="248">
        <v>1578</v>
      </c>
      <c r="M13" s="248">
        <v>796</v>
      </c>
      <c r="N13" s="248">
        <v>20</v>
      </c>
    </row>
    <row r="14" spans="1:14" ht="15.75" customHeight="1">
      <c r="A14" s="246">
        <v>2015</v>
      </c>
      <c r="B14" s="320">
        <f t="shared" si="0"/>
        <v>24847</v>
      </c>
      <c r="C14" s="248">
        <v>3123</v>
      </c>
      <c r="D14" s="248">
        <v>3267</v>
      </c>
      <c r="E14" s="248">
        <v>3368</v>
      </c>
      <c r="F14" s="248">
        <v>2066</v>
      </c>
      <c r="G14" s="248">
        <v>3725</v>
      </c>
      <c r="H14" s="248">
        <v>336</v>
      </c>
      <c r="I14" s="248">
        <v>2842</v>
      </c>
      <c r="J14" s="248">
        <v>2599</v>
      </c>
      <c r="K14" s="248">
        <v>1137</v>
      </c>
      <c r="L14" s="248">
        <v>1578</v>
      </c>
      <c r="M14" s="248">
        <v>806</v>
      </c>
      <c r="N14" s="248">
        <v>21</v>
      </c>
    </row>
    <row r="15" spans="1:14" ht="15.75" customHeight="1">
      <c r="A15" s="246">
        <v>2016</v>
      </c>
      <c r="B15" s="320">
        <f t="shared" si="0"/>
        <v>25015</v>
      </c>
      <c r="C15" s="248">
        <v>3132</v>
      </c>
      <c r="D15" s="248">
        <v>3273</v>
      </c>
      <c r="E15" s="248">
        <v>3378</v>
      </c>
      <c r="F15" s="248">
        <v>2085</v>
      </c>
      <c r="G15" s="248">
        <v>3722</v>
      </c>
      <c r="H15" s="248">
        <v>334</v>
      </c>
      <c r="I15" s="248">
        <v>2873</v>
      </c>
      <c r="J15" s="248">
        <v>2625</v>
      </c>
      <c r="K15" s="248">
        <v>1146</v>
      </c>
      <c r="L15" s="248">
        <v>1629</v>
      </c>
      <c r="M15" s="248">
        <v>818</v>
      </c>
      <c r="N15" s="248">
        <v>22</v>
      </c>
    </row>
    <row r="16" spans="1:14" ht="15.75" customHeight="1">
      <c r="A16" s="246">
        <v>2017</v>
      </c>
      <c r="B16" s="320">
        <f t="shared" si="0"/>
        <v>25173</v>
      </c>
      <c r="C16" s="248">
        <v>3214</v>
      </c>
      <c r="D16" s="248">
        <v>3273</v>
      </c>
      <c r="E16" s="248">
        <v>3357</v>
      </c>
      <c r="F16" s="248">
        <v>2074</v>
      </c>
      <c r="G16" s="248">
        <v>3739</v>
      </c>
      <c r="H16" s="248">
        <v>339</v>
      </c>
      <c r="I16" s="248">
        <v>2864</v>
      </c>
      <c r="J16" s="248">
        <v>2667</v>
      </c>
      <c r="K16" s="248">
        <v>1153</v>
      </c>
      <c r="L16" s="248">
        <v>1670</v>
      </c>
      <c r="M16" s="248">
        <v>823</v>
      </c>
      <c r="N16" s="248">
        <v>23</v>
      </c>
    </row>
    <row r="17" spans="1:14" ht="15.75" customHeight="1">
      <c r="A17" s="246">
        <v>2018</v>
      </c>
      <c r="B17" s="320">
        <f t="shared" si="0"/>
        <v>25321</v>
      </c>
      <c r="C17" s="248">
        <v>3251</v>
      </c>
      <c r="D17" s="248">
        <v>3295</v>
      </c>
      <c r="E17" s="248">
        <v>3367</v>
      </c>
      <c r="F17" s="248">
        <v>2080</v>
      </c>
      <c r="G17" s="248">
        <v>3728</v>
      </c>
      <c r="H17" s="248">
        <v>353</v>
      </c>
      <c r="I17" s="248">
        <v>2897</v>
      </c>
      <c r="J17" s="248">
        <v>2692</v>
      </c>
      <c r="K17" s="248">
        <v>1156</v>
      </c>
      <c r="L17" s="248">
        <v>1680</v>
      </c>
      <c r="M17" s="248">
        <v>822</v>
      </c>
      <c r="N17" s="248">
        <v>20</v>
      </c>
    </row>
    <row r="18" spans="1:14" ht="15.75" customHeight="1">
      <c r="A18" s="246">
        <v>2019</v>
      </c>
      <c r="B18" s="320">
        <f>SUM(C18:M18)</f>
        <v>25485</v>
      </c>
      <c r="C18" s="248">
        <v>3264</v>
      </c>
      <c r="D18" s="248">
        <v>3323</v>
      </c>
      <c r="E18" s="248">
        <v>3393</v>
      </c>
      <c r="F18" s="248">
        <v>2077</v>
      </c>
      <c r="G18" s="248">
        <v>3750</v>
      </c>
      <c r="H18" s="248">
        <v>351</v>
      </c>
      <c r="I18" s="248">
        <v>2928</v>
      </c>
      <c r="J18" s="248">
        <v>2677</v>
      </c>
      <c r="K18" s="248">
        <v>1162</v>
      </c>
      <c r="L18" s="248">
        <v>1721</v>
      </c>
      <c r="M18" s="248">
        <v>839</v>
      </c>
      <c r="N18" s="248">
        <v>17</v>
      </c>
    </row>
    <row r="19" spans="1:14" ht="15.75" customHeight="1">
      <c r="A19" s="246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</row>
    <row r="20" spans="1:14" ht="15.75" customHeight="1">
      <c r="A20" s="462" t="s">
        <v>13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</row>
    <row r="21" spans="1:14" ht="15.75" customHeight="1">
      <c r="A21" s="246">
        <v>1995</v>
      </c>
      <c r="B21" s="319">
        <f aca="true" t="shared" si="1" ref="B21:B32">SUM(C21:M21)</f>
        <v>12480</v>
      </c>
      <c r="C21" s="247">
        <v>1279</v>
      </c>
      <c r="D21" s="247">
        <v>1339</v>
      </c>
      <c r="E21" s="247">
        <v>2261</v>
      </c>
      <c r="F21" s="247">
        <v>1551</v>
      </c>
      <c r="G21" s="247">
        <v>1514</v>
      </c>
      <c r="H21" s="247">
        <v>102</v>
      </c>
      <c r="I21" s="247">
        <v>1409</v>
      </c>
      <c r="J21" s="247">
        <v>1296</v>
      </c>
      <c r="K21" s="247">
        <v>446</v>
      </c>
      <c r="L21" s="247">
        <v>851</v>
      </c>
      <c r="M21" s="247">
        <v>432</v>
      </c>
      <c r="N21" s="249">
        <v>0</v>
      </c>
    </row>
    <row r="22" spans="1:14" ht="15.75" customHeight="1">
      <c r="A22" s="246">
        <v>2000</v>
      </c>
      <c r="B22" s="319">
        <f t="shared" si="1"/>
        <v>14189</v>
      </c>
      <c r="C22" s="247">
        <v>1432</v>
      </c>
      <c r="D22" s="247">
        <v>1598</v>
      </c>
      <c r="E22" s="247">
        <v>2599</v>
      </c>
      <c r="F22" s="247">
        <v>1699</v>
      </c>
      <c r="G22" s="247">
        <v>1920</v>
      </c>
      <c r="H22" s="247">
        <v>127</v>
      </c>
      <c r="I22" s="247">
        <v>1494</v>
      </c>
      <c r="J22" s="247">
        <v>1437</v>
      </c>
      <c r="K22" s="247">
        <v>455</v>
      </c>
      <c r="L22" s="247">
        <v>942</v>
      </c>
      <c r="M22" s="247">
        <v>486</v>
      </c>
      <c r="N22" s="249">
        <v>0</v>
      </c>
    </row>
    <row r="23" spans="1:14" ht="15.75" customHeight="1">
      <c r="A23" s="246">
        <v>2005</v>
      </c>
      <c r="B23" s="319">
        <f t="shared" si="1"/>
        <v>14873</v>
      </c>
      <c r="C23" s="247">
        <v>1509</v>
      </c>
      <c r="D23" s="247">
        <v>1739</v>
      </c>
      <c r="E23" s="247">
        <v>2693</v>
      </c>
      <c r="F23" s="247">
        <v>1635</v>
      </c>
      <c r="G23" s="247">
        <v>2051</v>
      </c>
      <c r="H23" s="247">
        <v>131</v>
      </c>
      <c r="I23" s="247">
        <v>1622</v>
      </c>
      <c r="J23" s="247">
        <v>1528</v>
      </c>
      <c r="K23" s="247">
        <v>491</v>
      </c>
      <c r="L23" s="247">
        <v>987</v>
      </c>
      <c r="M23" s="247">
        <v>487</v>
      </c>
      <c r="N23" s="249">
        <v>0</v>
      </c>
    </row>
    <row r="24" spans="1:14" ht="15.75" customHeight="1">
      <c r="A24" s="246">
        <v>2010</v>
      </c>
      <c r="B24" s="319">
        <f t="shared" si="1"/>
        <v>14930</v>
      </c>
      <c r="C24" s="247">
        <v>1535</v>
      </c>
      <c r="D24" s="247">
        <v>1747</v>
      </c>
      <c r="E24" s="247">
        <v>2705</v>
      </c>
      <c r="F24" s="247">
        <v>1560</v>
      </c>
      <c r="G24" s="247">
        <v>2065</v>
      </c>
      <c r="H24" s="247">
        <v>133</v>
      </c>
      <c r="I24" s="247">
        <v>1631</v>
      </c>
      <c r="J24" s="247">
        <v>1595</v>
      </c>
      <c r="K24" s="247">
        <v>519</v>
      </c>
      <c r="L24" s="247">
        <v>983</v>
      </c>
      <c r="M24" s="247">
        <v>457</v>
      </c>
      <c r="N24" s="249">
        <v>0</v>
      </c>
    </row>
    <row r="25" spans="1:14" ht="15.75" customHeight="1">
      <c r="A25" s="246">
        <v>2011</v>
      </c>
      <c r="B25" s="320">
        <f t="shared" si="1"/>
        <v>14960</v>
      </c>
      <c r="C25" s="248">
        <v>1531</v>
      </c>
      <c r="D25" s="248">
        <v>1762</v>
      </c>
      <c r="E25" s="248">
        <v>2711</v>
      </c>
      <c r="F25" s="248">
        <v>1562</v>
      </c>
      <c r="G25" s="248">
        <v>2077</v>
      </c>
      <c r="H25" s="248">
        <v>128</v>
      </c>
      <c r="I25" s="248">
        <v>1627</v>
      </c>
      <c r="J25" s="248">
        <v>1603</v>
      </c>
      <c r="K25" s="248">
        <v>523</v>
      </c>
      <c r="L25" s="248">
        <v>981</v>
      </c>
      <c r="M25" s="248">
        <v>455</v>
      </c>
      <c r="N25" s="249">
        <v>0</v>
      </c>
    </row>
    <row r="26" spans="1:14" ht="15.75" customHeight="1">
      <c r="A26" s="246">
        <v>2012</v>
      </c>
      <c r="B26" s="320">
        <f t="shared" si="1"/>
        <v>15006</v>
      </c>
      <c r="C26" s="248">
        <v>1537</v>
      </c>
      <c r="D26" s="248">
        <v>1742</v>
      </c>
      <c r="E26" s="248">
        <v>2712</v>
      </c>
      <c r="F26" s="248">
        <v>1560</v>
      </c>
      <c r="G26" s="248">
        <v>2108</v>
      </c>
      <c r="H26" s="248">
        <v>129</v>
      </c>
      <c r="I26" s="248">
        <v>1637</v>
      </c>
      <c r="J26" s="248">
        <v>1630</v>
      </c>
      <c r="K26" s="248">
        <v>521</v>
      </c>
      <c r="L26" s="248">
        <v>977</v>
      </c>
      <c r="M26" s="248">
        <v>453</v>
      </c>
      <c r="N26" s="249">
        <v>0</v>
      </c>
    </row>
    <row r="27" spans="1:14" ht="15.75" customHeight="1">
      <c r="A27" s="246">
        <v>2013</v>
      </c>
      <c r="B27" s="320">
        <f t="shared" si="1"/>
        <v>15009</v>
      </c>
      <c r="C27" s="248">
        <v>1552</v>
      </c>
      <c r="D27" s="248">
        <v>1768</v>
      </c>
      <c r="E27" s="248">
        <v>2725</v>
      </c>
      <c r="F27" s="248">
        <v>1544</v>
      </c>
      <c r="G27" s="248">
        <v>2103</v>
      </c>
      <c r="H27" s="248">
        <v>122</v>
      </c>
      <c r="I27" s="248">
        <v>1613</v>
      </c>
      <c r="J27" s="248">
        <v>1639</v>
      </c>
      <c r="K27" s="248">
        <v>516</v>
      </c>
      <c r="L27" s="248">
        <v>977</v>
      </c>
      <c r="M27" s="248">
        <v>450</v>
      </c>
      <c r="N27" s="249">
        <v>0</v>
      </c>
    </row>
    <row r="28" spans="1:14" ht="15.75" customHeight="1">
      <c r="A28" s="246">
        <v>2014</v>
      </c>
      <c r="B28" s="320">
        <f t="shared" si="1"/>
        <v>15072</v>
      </c>
      <c r="C28" s="248">
        <v>1546</v>
      </c>
      <c r="D28" s="248">
        <v>1757</v>
      </c>
      <c r="E28" s="248">
        <v>2720</v>
      </c>
      <c r="F28" s="248">
        <v>1539</v>
      </c>
      <c r="G28" s="248">
        <v>2137</v>
      </c>
      <c r="H28" s="248">
        <v>125</v>
      </c>
      <c r="I28" s="248">
        <v>1630</v>
      </c>
      <c r="J28" s="248">
        <v>1636</v>
      </c>
      <c r="K28" s="248">
        <v>524</v>
      </c>
      <c r="L28" s="248">
        <v>1000</v>
      </c>
      <c r="M28" s="248">
        <v>458</v>
      </c>
      <c r="N28" s="249">
        <v>0</v>
      </c>
    </row>
    <row r="29" spans="1:14" ht="15.75" customHeight="1">
      <c r="A29" s="246">
        <v>2015</v>
      </c>
      <c r="B29" s="320">
        <f t="shared" si="1"/>
        <v>15052</v>
      </c>
      <c r="C29" s="248">
        <v>1545</v>
      </c>
      <c r="D29" s="248">
        <v>1738</v>
      </c>
      <c r="E29" s="248">
        <v>2735</v>
      </c>
      <c r="F29" s="248">
        <v>1535</v>
      </c>
      <c r="G29" s="248">
        <v>2123</v>
      </c>
      <c r="H29" s="248">
        <v>125</v>
      </c>
      <c r="I29" s="248">
        <v>1637</v>
      </c>
      <c r="J29" s="248">
        <v>1640</v>
      </c>
      <c r="K29" s="248">
        <v>513</v>
      </c>
      <c r="L29" s="248">
        <v>996</v>
      </c>
      <c r="M29" s="248">
        <v>465</v>
      </c>
      <c r="N29" s="249">
        <v>0</v>
      </c>
    </row>
    <row r="30" spans="1:14" ht="15.75" customHeight="1">
      <c r="A30" s="246">
        <v>2016</v>
      </c>
      <c r="B30" s="320">
        <f t="shared" si="1"/>
        <v>15067</v>
      </c>
      <c r="C30" s="248">
        <v>1530</v>
      </c>
      <c r="D30" s="248">
        <v>1739</v>
      </c>
      <c r="E30" s="248">
        <v>2726</v>
      </c>
      <c r="F30" s="248">
        <v>1528</v>
      </c>
      <c r="G30" s="248">
        <v>2132</v>
      </c>
      <c r="H30" s="248">
        <v>121</v>
      </c>
      <c r="I30" s="248">
        <v>1660</v>
      </c>
      <c r="J30" s="248">
        <v>1634</v>
      </c>
      <c r="K30" s="248">
        <v>519</v>
      </c>
      <c r="L30" s="248">
        <v>1014</v>
      </c>
      <c r="M30" s="248">
        <v>464</v>
      </c>
      <c r="N30" s="249">
        <v>0</v>
      </c>
    </row>
    <row r="31" spans="1:14" ht="15.75" customHeight="1">
      <c r="A31" s="246">
        <v>2017</v>
      </c>
      <c r="B31" s="320">
        <f t="shared" si="1"/>
        <v>15070</v>
      </c>
      <c r="C31" s="248">
        <v>1534</v>
      </c>
      <c r="D31" s="248">
        <v>1729</v>
      </c>
      <c r="E31" s="248">
        <v>2716</v>
      </c>
      <c r="F31" s="248">
        <v>1511</v>
      </c>
      <c r="G31" s="248">
        <v>2135</v>
      </c>
      <c r="H31" s="248">
        <v>124</v>
      </c>
      <c r="I31" s="248">
        <v>1656</v>
      </c>
      <c r="J31" s="248">
        <v>1651</v>
      </c>
      <c r="K31" s="248">
        <v>523</v>
      </c>
      <c r="L31" s="248">
        <v>1034</v>
      </c>
      <c r="M31" s="248">
        <v>457</v>
      </c>
      <c r="N31" s="249">
        <v>0</v>
      </c>
    </row>
    <row r="32" spans="1:14" ht="15.75" customHeight="1">
      <c r="A32" s="246">
        <v>2018</v>
      </c>
      <c r="B32" s="320">
        <f t="shared" si="1"/>
        <v>15088</v>
      </c>
      <c r="C32" s="248">
        <v>1521</v>
      </c>
      <c r="D32" s="248">
        <v>1738</v>
      </c>
      <c r="E32" s="248">
        <v>2720</v>
      </c>
      <c r="F32" s="248">
        <v>1513</v>
      </c>
      <c r="G32" s="248">
        <v>2155</v>
      </c>
      <c r="H32" s="248">
        <v>129</v>
      </c>
      <c r="I32" s="248">
        <v>1659</v>
      </c>
      <c r="J32" s="248">
        <v>1650</v>
      </c>
      <c r="K32" s="248">
        <v>515</v>
      </c>
      <c r="L32" s="248">
        <v>1033</v>
      </c>
      <c r="M32" s="248">
        <v>455</v>
      </c>
      <c r="N32" s="249">
        <v>0</v>
      </c>
    </row>
    <row r="33" spans="1:14" ht="15.75" customHeight="1">
      <c r="A33" s="246">
        <v>2019</v>
      </c>
      <c r="B33" s="320">
        <f>SUM(C33:M33)</f>
        <v>15129</v>
      </c>
      <c r="C33" s="248">
        <v>1533</v>
      </c>
      <c r="D33" s="248">
        <v>1750</v>
      </c>
      <c r="E33" s="248">
        <v>2725</v>
      </c>
      <c r="F33" s="248">
        <v>1505</v>
      </c>
      <c r="G33" s="248">
        <v>2166</v>
      </c>
      <c r="H33" s="248">
        <v>127</v>
      </c>
      <c r="I33" s="248">
        <v>1681</v>
      </c>
      <c r="J33" s="248">
        <v>1636</v>
      </c>
      <c r="K33" s="248">
        <v>511</v>
      </c>
      <c r="L33" s="248">
        <v>1022</v>
      </c>
      <c r="M33" s="248">
        <v>473</v>
      </c>
      <c r="N33" s="249">
        <v>0</v>
      </c>
    </row>
    <row r="34" spans="1:14" ht="15.75" customHeight="1">
      <c r="A34" s="246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48"/>
    </row>
    <row r="35" spans="1:14" ht="15.75" customHeight="1">
      <c r="A35" s="462" t="s">
        <v>523</v>
      </c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</row>
    <row r="36" spans="1:14" ht="15.75" customHeight="1">
      <c r="A36" s="246">
        <v>1995</v>
      </c>
      <c r="B36" s="319">
        <v>6360</v>
      </c>
      <c r="C36" s="247">
        <v>1391</v>
      </c>
      <c r="D36" s="247">
        <v>870</v>
      </c>
      <c r="E36" s="247">
        <v>358</v>
      </c>
      <c r="F36" s="247">
        <v>312</v>
      </c>
      <c r="G36" s="247">
        <v>1376</v>
      </c>
      <c r="H36" s="247">
        <v>137</v>
      </c>
      <c r="I36" s="247">
        <v>750</v>
      </c>
      <c r="J36" s="247">
        <v>495</v>
      </c>
      <c r="K36" s="247">
        <v>286</v>
      </c>
      <c r="L36" s="247">
        <v>251</v>
      </c>
      <c r="M36" s="247">
        <v>134</v>
      </c>
      <c r="N36" s="247">
        <v>42</v>
      </c>
    </row>
    <row r="37" spans="1:14" ht="15.75" customHeight="1">
      <c r="A37" s="246">
        <v>2000</v>
      </c>
      <c r="B37" s="319">
        <v>7354</v>
      </c>
      <c r="C37" s="247">
        <v>1352</v>
      </c>
      <c r="D37" s="247">
        <v>1154</v>
      </c>
      <c r="E37" s="247">
        <v>449</v>
      </c>
      <c r="F37" s="247">
        <v>335</v>
      </c>
      <c r="G37" s="247">
        <v>1398</v>
      </c>
      <c r="H37" s="247">
        <v>154</v>
      </c>
      <c r="I37" s="247">
        <v>946</v>
      </c>
      <c r="J37" s="247">
        <v>640</v>
      </c>
      <c r="K37" s="247">
        <v>365</v>
      </c>
      <c r="L37" s="247">
        <v>337</v>
      </c>
      <c r="M37" s="247">
        <v>224</v>
      </c>
      <c r="N37" s="247">
        <v>29</v>
      </c>
    </row>
    <row r="38" spans="1:14" ht="15.75" customHeight="1">
      <c r="A38" s="246">
        <v>2005</v>
      </c>
      <c r="B38" s="319">
        <f>SUM(C38:M38)</f>
        <v>8115</v>
      </c>
      <c r="C38" s="247">
        <f>2877-C23</f>
        <v>1368</v>
      </c>
      <c r="D38" s="247">
        <f>3002-D23</f>
        <v>1263</v>
      </c>
      <c r="E38" s="247">
        <f>3189-E23</f>
        <v>496</v>
      </c>
      <c r="F38" s="247">
        <f>2024-F23</f>
        <v>389</v>
      </c>
      <c r="G38" s="247">
        <f>3558-G23</f>
        <v>1507</v>
      </c>
      <c r="H38" s="247">
        <f>284-H23</f>
        <v>153</v>
      </c>
      <c r="I38" s="247">
        <f>2646-I23</f>
        <v>1024</v>
      </c>
      <c r="J38" s="247">
        <f>2263-J23</f>
        <v>735</v>
      </c>
      <c r="K38" s="247">
        <f>977-K23</f>
        <v>486</v>
      </c>
      <c r="L38" s="247">
        <f>1430-L23</f>
        <v>443</v>
      </c>
      <c r="M38" s="247">
        <f>738-M23</f>
        <v>251</v>
      </c>
      <c r="N38" s="247">
        <v>23</v>
      </c>
    </row>
    <row r="39" spans="1:14" ht="15.75" customHeight="1">
      <c r="A39" s="246">
        <v>2010</v>
      </c>
      <c r="B39" s="319">
        <f aca="true" t="shared" si="2" ref="B39:M39">B9-B24</f>
        <v>9215</v>
      </c>
      <c r="C39" s="247">
        <f t="shared" si="2"/>
        <v>1536</v>
      </c>
      <c r="D39" s="247">
        <f t="shared" si="2"/>
        <v>1440</v>
      </c>
      <c r="E39" s="247">
        <f t="shared" si="2"/>
        <v>592</v>
      </c>
      <c r="F39" s="247">
        <f t="shared" si="2"/>
        <v>489</v>
      </c>
      <c r="G39" s="247">
        <f t="shared" si="2"/>
        <v>1535</v>
      </c>
      <c r="H39" s="247">
        <f t="shared" si="2"/>
        <v>186</v>
      </c>
      <c r="I39" s="247">
        <f t="shared" si="2"/>
        <v>1141</v>
      </c>
      <c r="J39" s="247">
        <f t="shared" si="2"/>
        <v>903</v>
      </c>
      <c r="K39" s="247">
        <f t="shared" si="2"/>
        <v>598</v>
      </c>
      <c r="L39" s="247">
        <f t="shared" si="2"/>
        <v>483</v>
      </c>
      <c r="M39" s="247">
        <f t="shared" si="2"/>
        <v>312</v>
      </c>
      <c r="N39" s="247">
        <v>21</v>
      </c>
    </row>
    <row r="40" spans="1:14" ht="15.75" customHeight="1">
      <c r="A40" s="246">
        <v>2011</v>
      </c>
      <c r="B40" s="320">
        <f aca="true" t="shared" si="3" ref="B40:M40">B10-B25</f>
        <v>9371</v>
      </c>
      <c r="C40" s="248">
        <f t="shared" si="3"/>
        <v>1559</v>
      </c>
      <c r="D40" s="248">
        <f t="shared" si="3"/>
        <v>1431</v>
      </c>
      <c r="E40" s="248">
        <f t="shared" si="3"/>
        <v>602</v>
      </c>
      <c r="F40" s="248">
        <f t="shared" si="3"/>
        <v>501</v>
      </c>
      <c r="G40" s="248">
        <f t="shared" si="3"/>
        <v>1569</v>
      </c>
      <c r="H40" s="248">
        <f t="shared" si="3"/>
        <v>195</v>
      </c>
      <c r="I40" s="248">
        <f t="shared" si="3"/>
        <v>1144</v>
      </c>
      <c r="J40" s="248">
        <f t="shared" si="3"/>
        <v>890</v>
      </c>
      <c r="K40" s="248">
        <f t="shared" si="3"/>
        <v>619</v>
      </c>
      <c r="L40" s="248">
        <f t="shared" si="3"/>
        <v>527</v>
      </c>
      <c r="M40" s="248">
        <f t="shared" si="3"/>
        <v>334</v>
      </c>
      <c r="N40" s="248">
        <v>20</v>
      </c>
    </row>
    <row r="41" spans="1:14" ht="15.75" customHeight="1">
      <c r="A41" s="246">
        <v>2012</v>
      </c>
      <c r="B41" s="320">
        <f aca="true" t="shared" si="4" ref="B41:M41">B11-B26</f>
        <v>9495</v>
      </c>
      <c r="C41" s="248">
        <f t="shared" si="4"/>
        <v>1519</v>
      </c>
      <c r="D41" s="248">
        <f t="shared" si="4"/>
        <v>1465</v>
      </c>
      <c r="E41" s="248">
        <f t="shared" si="4"/>
        <v>611</v>
      </c>
      <c r="F41" s="248">
        <f t="shared" si="4"/>
        <v>526</v>
      </c>
      <c r="G41" s="248">
        <f t="shared" si="4"/>
        <v>1584</v>
      </c>
      <c r="H41" s="248">
        <f t="shared" si="4"/>
        <v>197</v>
      </c>
      <c r="I41" s="248">
        <f t="shared" si="4"/>
        <v>1172</v>
      </c>
      <c r="J41" s="248">
        <f t="shared" si="4"/>
        <v>932</v>
      </c>
      <c r="K41" s="248">
        <f t="shared" si="4"/>
        <v>607</v>
      </c>
      <c r="L41" s="248">
        <f t="shared" si="4"/>
        <v>541</v>
      </c>
      <c r="M41" s="248">
        <f t="shared" si="4"/>
        <v>341</v>
      </c>
      <c r="N41" s="248">
        <v>20</v>
      </c>
    </row>
    <row r="42" spans="1:14" ht="15.75" customHeight="1">
      <c r="A42" s="246">
        <v>2013</v>
      </c>
      <c r="B42" s="320">
        <f aca="true" t="shared" si="5" ref="B42:M42">B12-B27</f>
        <v>9601</v>
      </c>
      <c r="C42" s="248">
        <f t="shared" si="5"/>
        <v>1572</v>
      </c>
      <c r="D42" s="248">
        <f t="shared" si="5"/>
        <v>1469</v>
      </c>
      <c r="E42" s="248">
        <f t="shared" si="5"/>
        <v>621</v>
      </c>
      <c r="F42" s="248">
        <f t="shared" si="5"/>
        <v>525</v>
      </c>
      <c r="G42" s="248">
        <f t="shared" si="5"/>
        <v>1592</v>
      </c>
      <c r="H42" s="248">
        <f t="shared" si="5"/>
        <v>196</v>
      </c>
      <c r="I42" s="248">
        <f t="shared" si="5"/>
        <v>1189</v>
      </c>
      <c r="J42" s="248">
        <f t="shared" si="5"/>
        <v>934</v>
      </c>
      <c r="K42" s="248">
        <f t="shared" si="5"/>
        <v>620</v>
      </c>
      <c r="L42" s="248">
        <f t="shared" si="5"/>
        <v>554</v>
      </c>
      <c r="M42" s="248">
        <f t="shared" si="5"/>
        <v>329</v>
      </c>
      <c r="N42" s="248">
        <v>20</v>
      </c>
    </row>
    <row r="43" spans="1:14" ht="15.75" customHeight="1">
      <c r="A43" s="246">
        <v>2014</v>
      </c>
      <c r="B43" s="320">
        <f aca="true" t="shared" si="6" ref="B43:M43">B13-B28</f>
        <v>9715</v>
      </c>
      <c r="C43" s="248">
        <f t="shared" si="6"/>
        <v>1580</v>
      </c>
      <c r="D43" s="248">
        <f t="shared" si="6"/>
        <v>1504</v>
      </c>
      <c r="E43" s="248">
        <f t="shared" si="6"/>
        <v>628</v>
      </c>
      <c r="F43" s="248">
        <f t="shared" si="6"/>
        <v>536</v>
      </c>
      <c r="G43" s="248">
        <f t="shared" si="6"/>
        <v>1586</v>
      </c>
      <c r="H43" s="248">
        <f t="shared" si="6"/>
        <v>198</v>
      </c>
      <c r="I43" s="248">
        <f t="shared" si="6"/>
        <v>1181</v>
      </c>
      <c r="J43" s="248">
        <f t="shared" si="6"/>
        <v>977</v>
      </c>
      <c r="K43" s="248">
        <f t="shared" si="6"/>
        <v>609</v>
      </c>
      <c r="L43" s="248">
        <f t="shared" si="6"/>
        <v>578</v>
      </c>
      <c r="M43" s="248">
        <f t="shared" si="6"/>
        <v>338</v>
      </c>
      <c r="N43" s="248">
        <v>20</v>
      </c>
    </row>
    <row r="44" spans="1:14" ht="15.75" customHeight="1">
      <c r="A44" s="246">
        <v>2015</v>
      </c>
      <c r="B44" s="320">
        <f aca="true" t="shared" si="7" ref="B44:M44">B14-B29</f>
        <v>9795</v>
      </c>
      <c r="C44" s="248">
        <f t="shared" si="7"/>
        <v>1578</v>
      </c>
      <c r="D44" s="248">
        <f t="shared" si="7"/>
        <v>1529</v>
      </c>
      <c r="E44" s="248">
        <f t="shared" si="7"/>
        <v>633</v>
      </c>
      <c r="F44" s="248">
        <f t="shared" si="7"/>
        <v>531</v>
      </c>
      <c r="G44" s="248">
        <f t="shared" si="7"/>
        <v>1602</v>
      </c>
      <c r="H44" s="248">
        <f t="shared" si="7"/>
        <v>211</v>
      </c>
      <c r="I44" s="248">
        <f t="shared" si="7"/>
        <v>1205</v>
      </c>
      <c r="J44" s="248">
        <f t="shared" si="7"/>
        <v>959</v>
      </c>
      <c r="K44" s="248">
        <f t="shared" si="7"/>
        <v>624</v>
      </c>
      <c r="L44" s="248">
        <f t="shared" si="7"/>
        <v>582</v>
      </c>
      <c r="M44" s="248">
        <f t="shared" si="7"/>
        <v>341</v>
      </c>
      <c r="N44" s="248">
        <f>N14-N29</f>
        <v>21</v>
      </c>
    </row>
    <row r="45" spans="1:14" ht="15.75" customHeight="1">
      <c r="A45" s="246">
        <v>2016</v>
      </c>
      <c r="B45" s="320">
        <f aca="true" t="shared" si="8" ref="B45:M45">B15-B30</f>
        <v>9948</v>
      </c>
      <c r="C45" s="248">
        <f t="shared" si="8"/>
        <v>1602</v>
      </c>
      <c r="D45" s="248">
        <f t="shared" si="8"/>
        <v>1534</v>
      </c>
      <c r="E45" s="248">
        <f t="shared" si="8"/>
        <v>652</v>
      </c>
      <c r="F45" s="248">
        <f t="shared" si="8"/>
        <v>557</v>
      </c>
      <c r="G45" s="248">
        <f t="shared" si="8"/>
        <v>1590</v>
      </c>
      <c r="H45" s="248">
        <f t="shared" si="8"/>
        <v>213</v>
      </c>
      <c r="I45" s="248">
        <f t="shared" si="8"/>
        <v>1213</v>
      </c>
      <c r="J45" s="248">
        <f t="shared" si="8"/>
        <v>991</v>
      </c>
      <c r="K45" s="248">
        <f t="shared" si="8"/>
        <v>627</v>
      </c>
      <c r="L45" s="248">
        <f t="shared" si="8"/>
        <v>615</v>
      </c>
      <c r="M45" s="248">
        <f t="shared" si="8"/>
        <v>354</v>
      </c>
      <c r="N45" s="248">
        <f>N15-N30</f>
        <v>22</v>
      </c>
    </row>
    <row r="46" spans="1:14" ht="15.75" customHeight="1">
      <c r="A46" s="246">
        <v>2017</v>
      </c>
      <c r="B46" s="320">
        <f aca="true" t="shared" si="9" ref="B46:M46">B16-B31</f>
        <v>10103</v>
      </c>
      <c r="C46" s="248">
        <f t="shared" si="9"/>
        <v>1680</v>
      </c>
      <c r="D46" s="248">
        <f t="shared" si="9"/>
        <v>1544</v>
      </c>
      <c r="E46" s="248">
        <f t="shared" si="9"/>
        <v>641</v>
      </c>
      <c r="F46" s="248">
        <f t="shared" si="9"/>
        <v>563</v>
      </c>
      <c r="G46" s="248">
        <f t="shared" si="9"/>
        <v>1604</v>
      </c>
      <c r="H46" s="248">
        <f t="shared" si="9"/>
        <v>215</v>
      </c>
      <c r="I46" s="248">
        <f t="shared" si="9"/>
        <v>1208</v>
      </c>
      <c r="J46" s="248">
        <f t="shared" si="9"/>
        <v>1016</v>
      </c>
      <c r="K46" s="248">
        <f t="shared" si="9"/>
        <v>630</v>
      </c>
      <c r="L46" s="248">
        <f t="shared" si="9"/>
        <v>636</v>
      </c>
      <c r="M46" s="248">
        <f t="shared" si="9"/>
        <v>366</v>
      </c>
      <c r="N46" s="248">
        <f>N16-N31</f>
        <v>23</v>
      </c>
    </row>
    <row r="47" spans="1:14" ht="15.75" customHeight="1">
      <c r="A47" s="246">
        <v>2018</v>
      </c>
      <c r="B47" s="320">
        <f aca="true" t="shared" si="10" ref="B47:M48">B17-B32</f>
        <v>10233</v>
      </c>
      <c r="C47" s="248">
        <f t="shared" si="10"/>
        <v>1730</v>
      </c>
      <c r="D47" s="248">
        <f t="shared" si="10"/>
        <v>1557</v>
      </c>
      <c r="E47" s="248">
        <f t="shared" si="10"/>
        <v>647</v>
      </c>
      <c r="F47" s="248">
        <f t="shared" si="10"/>
        <v>567</v>
      </c>
      <c r="G47" s="248">
        <f t="shared" si="10"/>
        <v>1573</v>
      </c>
      <c r="H47" s="248">
        <f t="shared" si="10"/>
        <v>224</v>
      </c>
      <c r="I47" s="248">
        <f t="shared" si="10"/>
        <v>1238</v>
      </c>
      <c r="J47" s="248">
        <f t="shared" si="10"/>
        <v>1042</v>
      </c>
      <c r="K47" s="248">
        <f t="shared" si="10"/>
        <v>641</v>
      </c>
      <c r="L47" s="248">
        <f t="shared" si="10"/>
        <v>647</v>
      </c>
      <c r="M47" s="248">
        <f t="shared" si="10"/>
        <v>367</v>
      </c>
      <c r="N47" s="248">
        <f>N17-N32</f>
        <v>20</v>
      </c>
    </row>
    <row r="48" spans="1:14" ht="15.75" customHeight="1" thickBot="1">
      <c r="A48" s="251">
        <v>2019</v>
      </c>
      <c r="B48" s="321">
        <f t="shared" si="10"/>
        <v>10356</v>
      </c>
      <c r="C48" s="252">
        <f t="shared" si="10"/>
        <v>1731</v>
      </c>
      <c r="D48" s="252">
        <f t="shared" si="10"/>
        <v>1573</v>
      </c>
      <c r="E48" s="252">
        <f t="shared" si="10"/>
        <v>668</v>
      </c>
      <c r="F48" s="252">
        <f t="shared" si="10"/>
        <v>572</v>
      </c>
      <c r="G48" s="252">
        <f t="shared" si="10"/>
        <v>1584</v>
      </c>
      <c r="H48" s="252">
        <f t="shared" si="10"/>
        <v>224</v>
      </c>
      <c r="I48" s="252">
        <f t="shared" si="10"/>
        <v>1247</v>
      </c>
      <c r="J48" s="252">
        <f t="shared" si="10"/>
        <v>1041</v>
      </c>
      <c r="K48" s="252">
        <f t="shared" si="10"/>
        <v>651</v>
      </c>
      <c r="L48" s="252">
        <f t="shared" si="10"/>
        <v>699</v>
      </c>
      <c r="M48" s="252">
        <f t="shared" si="10"/>
        <v>366</v>
      </c>
      <c r="N48" s="252">
        <f>N18-N33</f>
        <v>17</v>
      </c>
    </row>
    <row r="49" spans="1:14" ht="12.75" customHeight="1">
      <c r="A49" s="391" t="s">
        <v>635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7">
    <mergeCell ref="A49:N49"/>
    <mergeCell ref="A1:N1"/>
    <mergeCell ref="A2:N2"/>
    <mergeCell ref="A5:N5"/>
    <mergeCell ref="A20:N20"/>
    <mergeCell ref="A35:N35"/>
    <mergeCell ref="C3:M3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8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0"/>
  <sheetViews>
    <sheetView zoomScale="85" zoomScaleNormal="85" zoomScalePageLayoutView="0" workbookViewId="0" topLeftCell="A1">
      <selection activeCell="F30" sqref="F30"/>
    </sheetView>
  </sheetViews>
  <sheetFormatPr defaultColWidth="11.421875" defaultRowHeight="12.75"/>
  <cols>
    <col min="1" max="1" width="6.28125" style="25" customWidth="1"/>
    <col min="2" max="2" width="23.28125" style="25" bestFit="1" customWidth="1"/>
    <col min="3" max="3" width="4.28125" style="25" customWidth="1"/>
    <col min="4" max="4" width="7.7109375" style="25" bestFit="1" customWidth="1"/>
    <col min="5" max="5" width="11.7109375" style="25" bestFit="1" customWidth="1"/>
    <col min="6" max="6" width="16.140625" style="25" bestFit="1" customWidth="1"/>
    <col min="7" max="7" width="10.421875" style="25" bestFit="1" customWidth="1"/>
    <col min="8" max="8" width="9.421875" style="25" bestFit="1" customWidth="1"/>
    <col min="9" max="9" width="4.140625" style="25" customWidth="1"/>
    <col min="10" max="10" width="7.8515625" style="25" bestFit="1" customWidth="1"/>
    <col min="11" max="11" width="11.7109375" style="25" customWidth="1"/>
    <col min="12" max="12" width="16.140625" style="25" bestFit="1" customWidth="1"/>
    <col min="13" max="13" width="10.421875" style="25" bestFit="1" customWidth="1"/>
    <col min="14" max="14" width="9.421875" style="25" bestFit="1" customWidth="1"/>
    <col min="15" max="16384" width="11.421875" style="25" customWidth="1"/>
  </cols>
  <sheetData>
    <row r="1" spans="1:14" ht="18">
      <c r="A1" s="445" t="s">
        <v>524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ht="15.75" customHeight="1" thickBot="1">
      <c r="A2" s="390" t="s">
        <v>479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ht="15.75">
      <c r="A3" s="260"/>
      <c r="B3" s="368" t="s">
        <v>119</v>
      </c>
      <c r="C3" s="368"/>
      <c r="D3" s="466" t="s">
        <v>74</v>
      </c>
      <c r="E3" s="466"/>
      <c r="F3" s="466"/>
      <c r="G3" s="466"/>
      <c r="H3" s="466"/>
      <c r="I3" s="380"/>
      <c r="J3" s="466" t="s">
        <v>76</v>
      </c>
      <c r="K3" s="466"/>
      <c r="L3" s="466"/>
      <c r="M3" s="466"/>
      <c r="N3" s="466"/>
    </row>
    <row r="4" spans="1:14" ht="30.75">
      <c r="A4" s="221" t="s">
        <v>4</v>
      </c>
      <c r="B4" s="213"/>
      <c r="C4" s="213"/>
      <c r="D4" s="214" t="s">
        <v>134</v>
      </c>
      <c r="E4" s="214" t="s">
        <v>211</v>
      </c>
      <c r="F4" s="214" t="s">
        <v>287</v>
      </c>
      <c r="G4" s="214" t="s">
        <v>212</v>
      </c>
      <c r="H4" s="214" t="s">
        <v>213</v>
      </c>
      <c r="I4" s="214"/>
      <c r="J4" s="214" t="s">
        <v>134</v>
      </c>
      <c r="K4" s="214" t="s">
        <v>211</v>
      </c>
      <c r="L4" s="214" t="s">
        <v>287</v>
      </c>
      <c r="M4" s="214" t="s">
        <v>212</v>
      </c>
      <c r="N4" s="214" t="s">
        <v>213</v>
      </c>
    </row>
    <row r="5" spans="1:14" ht="15.75" customHeight="1">
      <c r="A5" s="187">
        <v>1930</v>
      </c>
      <c r="B5" s="299">
        <v>9948</v>
      </c>
      <c r="C5" s="191"/>
      <c r="D5" s="191">
        <f>SUM(E5:H5)</f>
        <v>8406</v>
      </c>
      <c r="E5" s="191">
        <v>8230</v>
      </c>
      <c r="F5" s="191">
        <v>175</v>
      </c>
      <c r="G5" s="191">
        <v>1</v>
      </c>
      <c r="H5" s="191" t="s">
        <v>11</v>
      </c>
      <c r="I5" s="191"/>
      <c r="J5" s="191">
        <f>SUM(K5:N5)</f>
        <v>1691</v>
      </c>
      <c r="K5" s="191">
        <v>1451</v>
      </c>
      <c r="L5" s="191">
        <v>236</v>
      </c>
      <c r="M5" s="191">
        <v>4</v>
      </c>
      <c r="N5" s="191" t="s">
        <v>11</v>
      </c>
    </row>
    <row r="6" spans="1:14" ht="15.75" customHeight="1">
      <c r="A6" s="187">
        <v>1941</v>
      </c>
      <c r="B6" s="299">
        <v>11094</v>
      </c>
      <c r="C6" s="191"/>
      <c r="D6" s="191">
        <f>SUM(E6:H6)</f>
        <v>9309</v>
      </c>
      <c r="E6" s="191">
        <v>9251</v>
      </c>
      <c r="F6" s="191">
        <v>54</v>
      </c>
      <c r="G6" s="191">
        <v>4</v>
      </c>
      <c r="H6" s="191" t="s">
        <v>11</v>
      </c>
      <c r="I6" s="191"/>
      <c r="J6" s="191">
        <f>SUM(K6:N6)</f>
        <v>1785</v>
      </c>
      <c r="K6" s="191">
        <v>1332</v>
      </c>
      <c r="L6" s="191">
        <v>365</v>
      </c>
      <c r="M6" s="191">
        <f>71+17</f>
        <v>88</v>
      </c>
      <c r="N6" s="191" t="s">
        <v>11</v>
      </c>
    </row>
    <row r="7" spans="1:14" ht="15.75" customHeight="1">
      <c r="A7" s="187">
        <v>1950</v>
      </c>
      <c r="B7" s="299">
        <v>13757</v>
      </c>
      <c r="C7" s="191"/>
      <c r="D7" s="191">
        <f>SUM(E7:H7)</f>
        <v>11006</v>
      </c>
      <c r="E7" s="191">
        <v>10850</v>
      </c>
      <c r="F7" s="191">
        <v>146</v>
      </c>
      <c r="G7" s="191">
        <v>10</v>
      </c>
      <c r="H7" s="191" t="s">
        <v>11</v>
      </c>
      <c r="I7" s="191"/>
      <c r="J7" s="191">
        <f>SUM(K7:N7)</f>
        <v>2751</v>
      </c>
      <c r="K7" s="191">
        <v>1944</v>
      </c>
      <c r="L7" s="191">
        <v>741</v>
      </c>
      <c r="M7" s="191">
        <f>13+36+17</f>
        <v>66</v>
      </c>
      <c r="N7" s="191" t="s">
        <v>11</v>
      </c>
    </row>
    <row r="8" spans="1:14" ht="15.75" customHeight="1">
      <c r="A8" s="245" t="s">
        <v>57</v>
      </c>
      <c r="B8" s="299">
        <v>16628</v>
      </c>
      <c r="C8" s="191"/>
      <c r="D8" s="191">
        <v>12485</v>
      </c>
      <c r="E8" s="191">
        <v>12301</v>
      </c>
      <c r="F8" s="191">
        <v>175</v>
      </c>
      <c r="G8" s="191">
        <v>9</v>
      </c>
      <c r="H8" s="191" t="s">
        <v>11</v>
      </c>
      <c r="I8" s="191"/>
      <c r="J8" s="191">
        <v>4143</v>
      </c>
      <c r="K8" s="191">
        <v>3051</v>
      </c>
      <c r="L8" s="191">
        <v>949</v>
      </c>
      <c r="M8" s="191">
        <v>143</v>
      </c>
      <c r="N8" s="191" t="s">
        <v>11</v>
      </c>
    </row>
    <row r="9" spans="1:14" ht="15.75" customHeight="1">
      <c r="A9" s="245" t="s">
        <v>58</v>
      </c>
      <c r="B9" s="299">
        <v>21350</v>
      </c>
      <c r="C9" s="191"/>
      <c r="D9" s="191">
        <v>14304</v>
      </c>
      <c r="E9" s="191">
        <v>14015</v>
      </c>
      <c r="F9" s="191">
        <v>260</v>
      </c>
      <c r="G9" s="191">
        <v>19</v>
      </c>
      <c r="H9" s="191">
        <v>10</v>
      </c>
      <c r="I9" s="191"/>
      <c r="J9" s="191">
        <v>7046</v>
      </c>
      <c r="K9" s="191">
        <v>5232</v>
      </c>
      <c r="L9" s="191">
        <v>1613</v>
      </c>
      <c r="M9" s="191">
        <v>185</v>
      </c>
      <c r="N9" s="191">
        <v>16</v>
      </c>
    </row>
    <row r="10" spans="1:14" ht="15.75" customHeight="1">
      <c r="A10" s="245" t="s">
        <v>59</v>
      </c>
      <c r="B10" s="299">
        <v>25215</v>
      </c>
      <c r="C10" s="191"/>
      <c r="D10" s="191">
        <v>15913</v>
      </c>
      <c r="E10" s="191">
        <v>15408</v>
      </c>
      <c r="F10" s="191">
        <v>383</v>
      </c>
      <c r="G10" s="191">
        <v>86</v>
      </c>
      <c r="H10" s="191">
        <v>36</v>
      </c>
      <c r="I10" s="191"/>
      <c r="J10" s="191">
        <v>9302</v>
      </c>
      <c r="K10" s="191">
        <v>6227</v>
      </c>
      <c r="L10" s="191">
        <v>2225</v>
      </c>
      <c r="M10" s="191">
        <v>806</v>
      </c>
      <c r="N10" s="191">
        <v>44</v>
      </c>
    </row>
    <row r="11" spans="1:14" ht="15.75" customHeight="1">
      <c r="A11" s="245" t="s">
        <v>60</v>
      </c>
      <c r="B11" s="299">
        <v>29032</v>
      </c>
      <c r="C11" s="191"/>
      <c r="D11" s="191">
        <f>SUM(E11:H11)</f>
        <v>18123</v>
      </c>
      <c r="E11" s="191">
        <v>17307</v>
      </c>
      <c r="F11" s="191">
        <v>515</v>
      </c>
      <c r="G11" s="191">
        <v>171</v>
      </c>
      <c r="H11" s="191">
        <v>130</v>
      </c>
      <c r="I11" s="191"/>
      <c r="J11" s="191">
        <f>SUM(K11:N11)</f>
        <v>10909</v>
      </c>
      <c r="K11" s="191">
        <v>7331</v>
      </c>
      <c r="L11" s="191">
        <v>2167</v>
      </c>
      <c r="M11" s="191">
        <v>1275</v>
      </c>
      <c r="N11" s="191">
        <v>136</v>
      </c>
    </row>
    <row r="12" spans="1:14" ht="15.75" customHeight="1">
      <c r="A12" s="187">
        <v>2000</v>
      </c>
      <c r="B12" s="299">
        <v>33307</v>
      </c>
      <c r="C12" s="191"/>
      <c r="D12" s="191">
        <f>SUM(E12:H12)</f>
        <v>21115</v>
      </c>
      <c r="E12" s="191">
        <v>19179</v>
      </c>
      <c r="F12" s="191">
        <v>678</v>
      </c>
      <c r="G12" s="191">
        <f>34+10+12+66+19+358</f>
        <v>499</v>
      </c>
      <c r="H12" s="191">
        <v>759</v>
      </c>
      <c r="I12" s="191"/>
      <c r="J12" s="191">
        <f>SUM(K12:N12)</f>
        <v>12192</v>
      </c>
      <c r="K12" s="191">
        <v>6943</v>
      </c>
      <c r="L12" s="191">
        <v>2082</v>
      </c>
      <c r="M12" s="191">
        <f>331+28+14+1527+68+583</f>
        <v>2551</v>
      </c>
      <c r="N12" s="191">
        <v>616</v>
      </c>
    </row>
    <row r="13" spans="1:14" ht="15.75" customHeight="1">
      <c r="A13" s="187">
        <v>2010</v>
      </c>
      <c r="B13" s="300">
        <v>36149</v>
      </c>
      <c r="C13" s="192"/>
      <c r="D13" s="192">
        <f>SUM(E13:H13)</f>
        <v>24145</v>
      </c>
      <c r="E13" s="192">
        <v>21004</v>
      </c>
      <c r="F13" s="192">
        <v>1076</v>
      </c>
      <c r="G13" s="192">
        <f>105+43+353+98+876</f>
        <v>1475</v>
      </c>
      <c r="H13" s="192">
        <v>590</v>
      </c>
      <c r="I13" s="192"/>
      <c r="J13" s="192">
        <f>SUM(K13:N13)</f>
        <v>12004</v>
      </c>
      <c r="K13" s="192">
        <v>6446</v>
      </c>
      <c r="L13" s="192">
        <v>1986</v>
      </c>
      <c r="M13" s="192">
        <f>310+61+1607+183+1076</f>
        <v>3237</v>
      </c>
      <c r="N13" s="192">
        <v>335</v>
      </c>
    </row>
    <row r="14" spans="1:14" ht="15.75" customHeight="1" thickBot="1">
      <c r="A14" s="187">
        <v>2015</v>
      </c>
      <c r="B14" s="300">
        <v>37622</v>
      </c>
      <c r="C14" s="192"/>
      <c r="D14" s="192">
        <f>SUM(E14:H14)</f>
        <v>24847</v>
      </c>
      <c r="E14" s="192">
        <v>20883</v>
      </c>
      <c r="F14" s="192">
        <v>1119</v>
      </c>
      <c r="G14" s="192">
        <f>134+39+537+131+1203</f>
        <v>2044</v>
      </c>
      <c r="H14" s="192">
        <v>801</v>
      </c>
      <c r="I14" s="192"/>
      <c r="J14" s="192">
        <f>SUM(K14:N14)</f>
        <v>12775</v>
      </c>
      <c r="K14" s="192">
        <v>6716</v>
      </c>
      <c r="L14" s="192">
        <v>1952</v>
      </c>
      <c r="M14" s="192">
        <f>1420+177+1678+66+338</f>
        <v>3679</v>
      </c>
      <c r="N14" s="192">
        <v>428</v>
      </c>
    </row>
    <row r="15" spans="1:14" ht="15.75" customHeight="1">
      <c r="A15" s="391" t="s">
        <v>635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</row>
    <row r="16" spans="1:14" ht="15.75" customHeight="1">
      <c r="A16" s="465" t="s">
        <v>61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</row>
    <row r="17" spans="1:14" ht="15.7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</row>
    <row r="18" spans="1:14" ht="15.75" customHeight="1">
      <c r="A18" s="439" t="s">
        <v>202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</row>
    <row r="19" spans="1:14" ht="15.75" customHeight="1">
      <c r="A19" s="464" t="s">
        <v>526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</row>
    <row r="20" spans="1:14" ht="12.75" customHeight="1">
      <c r="A20" s="464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</row>
  </sheetData>
  <sheetProtection/>
  <mergeCells count="9">
    <mergeCell ref="A20:N20"/>
    <mergeCell ref="A1:N1"/>
    <mergeCell ref="A2:N2"/>
    <mergeCell ref="A18:N18"/>
    <mergeCell ref="A16:N16"/>
    <mergeCell ref="A19:N19"/>
    <mergeCell ref="D3:H3"/>
    <mergeCell ref="J3:N3"/>
    <mergeCell ref="A15:N15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landscape" paperSize="9" scale="96" r:id="rId2"/>
  <ignoredErrors>
    <ignoredError sqref="A8:A11" numberStoredAsText="1"/>
  </ignoredErrors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85" zoomScaleNormal="85" zoomScalePageLayoutView="0" workbookViewId="0" topLeftCell="A1">
      <selection activeCell="F37" sqref="F37"/>
    </sheetView>
  </sheetViews>
  <sheetFormatPr defaultColWidth="11.421875" defaultRowHeight="12.75"/>
  <cols>
    <col min="1" max="1" width="7.28125" style="4" customWidth="1"/>
    <col min="2" max="2" width="16.421875" style="4" customWidth="1"/>
    <col min="3" max="3" width="17.421875" style="4" customWidth="1"/>
    <col min="4" max="4" width="17.57421875" style="4" customWidth="1"/>
    <col min="5" max="5" width="19.421875" style="4" customWidth="1"/>
    <col min="6" max="6" width="19.28125" style="4" customWidth="1"/>
    <col min="7" max="7" width="18.421875" style="4" customWidth="1"/>
    <col min="8" max="8" width="14.57421875" style="4" customWidth="1"/>
    <col min="9" max="9" width="17.8515625" style="1" customWidth="1"/>
    <col min="10" max="10" width="22.140625" style="4" customWidth="1"/>
    <col min="11" max="16384" width="11.421875" style="4" customWidth="1"/>
  </cols>
  <sheetData>
    <row r="1" spans="1:9" ht="18.75" customHeight="1" thickBot="1">
      <c r="A1" s="468" t="s">
        <v>296</v>
      </c>
      <c r="B1" s="468"/>
      <c r="C1" s="468"/>
      <c r="D1" s="468"/>
      <c r="E1" s="468"/>
      <c r="F1" s="468"/>
      <c r="G1" s="468"/>
      <c r="H1" s="468"/>
      <c r="I1" s="468"/>
    </row>
    <row r="2" spans="1:9" ht="3.75" customHeight="1" hidden="1" thickBot="1">
      <c r="A2" s="467" t="s">
        <v>480</v>
      </c>
      <c r="B2" s="467"/>
      <c r="C2" s="467"/>
      <c r="D2" s="467"/>
      <c r="E2" s="467"/>
      <c r="F2" s="467"/>
      <c r="G2" s="467"/>
      <c r="H2" s="467"/>
      <c r="I2" s="467"/>
    </row>
    <row r="3" spans="1:9" s="42" customFormat="1" ht="60">
      <c r="A3" s="222" t="s">
        <v>4</v>
      </c>
      <c r="B3" s="222" t="s">
        <v>329</v>
      </c>
      <c r="C3" s="222" t="s">
        <v>330</v>
      </c>
      <c r="D3" s="255" t="s">
        <v>295</v>
      </c>
      <c r="E3" s="222" t="s">
        <v>331</v>
      </c>
      <c r="F3" s="222" t="s">
        <v>332</v>
      </c>
      <c r="G3" s="222" t="s">
        <v>297</v>
      </c>
      <c r="H3" s="222" t="s">
        <v>311</v>
      </c>
      <c r="I3" s="255" t="s">
        <v>298</v>
      </c>
    </row>
    <row r="4" spans="1:9" s="42" customFormat="1" ht="15.75" customHeight="1">
      <c r="A4" s="184">
        <v>2000</v>
      </c>
      <c r="B4" s="184">
        <v>32426</v>
      </c>
      <c r="C4" s="184">
        <v>32863</v>
      </c>
      <c r="D4" s="256">
        <f aca="true" t="shared" si="0" ref="D4:D17">ROUND((B4+C4)/2,0)</f>
        <v>32645</v>
      </c>
      <c r="E4" s="191">
        <v>279</v>
      </c>
      <c r="F4" s="191">
        <v>333</v>
      </c>
      <c r="G4" s="232">
        <f aca="true" t="shared" si="1" ref="G4:G10">ROUND((E4+F4)/2,0)</f>
        <v>306</v>
      </c>
      <c r="H4" s="191">
        <v>334</v>
      </c>
      <c r="I4" s="257">
        <f aca="true" t="shared" si="2" ref="I4:I9">D4+G4+H4</f>
        <v>33285</v>
      </c>
    </row>
    <row r="5" spans="1:9" s="42" customFormat="1" ht="15.75" customHeight="1">
      <c r="A5" s="184">
        <v>2001</v>
      </c>
      <c r="B5" s="184">
        <v>32863</v>
      </c>
      <c r="C5" s="184">
        <v>33525</v>
      </c>
      <c r="D5" s="256">
        <f t="shared" si="0"/>
        <v>33194</v>
      </c>
      <c r="E5" s="191">
        <v>333</v>
      </c>
      <c r="F5" s="191">
        <v>427</v>
      </c>
      <c r="G5" s="232">
        <f t="shared" si="1"/>
        <v>380</v>
      </c>
      <c r="H5" s="191">
        <v>219</v>
      </c>
      <c r="I5" s="257">
        <f t="shared" si="2"/>
        <v>33793</v>
      </c>
    </row>
    <row r="6" spans="1:9" s="42" customFormat="1" ht="15.75" customHeight="1">
      <c r="A6" s="184">
        <v>2002</v>
      </c>
      <c r="B6" s="184">
        <v>33525</v>
      </c>
      <c r="C6" s="184">
        <v>33863</v>
      </c>
      <c r="D6" s="256">
        <f t="shared" si="0"/>
        <v>33694</v>
      </c>
      <c r="E6" s="191">
        <v>382</v>
      </c>
      <c r="F6" s="191">
        <v>427</v>
      </c>
      <c r="G6" s="232">
        <f t="shared" si="1"/>
        <v>405</v>
      </c>
      <c r="H6" s="191">
        <v>107</v>
      </c>
      <c r="I6" s="257">
        <f t="shared" si="2"/>
        <v>34206</v>
      </c>
    </row>
    <row r="7" spans="1:9" s="42" customFormat="1" ht="15.75" customHeight="1">
      <c r="A7" s="184">
        <v>2003</v>
      </c>
      <c r="B7" s="184">
        <v>33863</v>
      </c>
      <c r="C7" s="184">
        <v>34294</v>
      </c>
      <c r="D7" s="256">
        <f t="shared" si="0"/>
        <v>34079</v>
      </c>
      <c r="E7" s="191">
        <v>427</v>
      </c>
      <c r="F7" s="191">
        <v>382</v>
      </c>
      <c r="G7" s="232">
        <f t="shared" si="1"/>
        <v>405</v>
      </c>
      <c r="H7" s="191">
        <v>58</v>
      </c>
      <c r="I7" s="257">
        <f t="shared" si="2"/>
        <v>34542</v>
      </c>
    </row>
    <row r="8" spans="1:9" s="42" customFormat="1" ht="15.75" customHeight="1">
      <c r="A8" s="184">
        <v>2004</v>
      </c>
      <c r="B8" s="184">
        <v>34294</v>
      </c>
      <c r="C8" s="184">
        <v>34600</v>
      </c>
      <c r="D8" s="256">
        <f t="shared" si="0"/>
        <v>34447</v>
      </c>
      <c r="E8" s="191">
        <v>382</v>
      </c>
      <c r="F8" s="191">
        <v>300</v>
      </c>
      <c r="G8" s="232">
        <f t="shared" si="1"/>
        <v>341</v>
      </c>
      <c r="H8" s="191">
        <v>38</v>
      </c>
      <c r="I8" s="257">
        <f t="shared" si="2"/>
        <v>34826</v>
      </c>
    </row>
    <row r="9" spans="1:9" s="42" customFormat="1" ht="15.75" customHeight="1">
      <c r="A9" s="184">
        <v>2005</v>
      </c>
      <c r="B9" s="184">
        <v>34600</v>
      </c>
      <c r="C9" s="184">
        <v>34905</v>
      </c>
      <c r="D9" s="256">
        <f t="shared" si="0"/>
        <v>34753</v>
      </c>
      <c r="E9" s="191">
        <v>300</v>
      </c>
      <c r="F9" s="191">
        <v>335</v>
      </c>
      <c r="G9" s="232">
        <f t="shared" si="1"/>
        <v>318</v>
      </c>
      <c r="H9" s="191">
        <v>4</v>
      </c>
      <c r="I9" s="257">
        <f t="shared" si="2"/>
        <v>35075</v>
      </c>
    </row>
    <row r="10" spans="1:9" s="42" customFormat="1" ht="15.75" customHeight="1">
      <c r="A10" s="184">
        <v>2006</v>
      </c>
      <c r="B10" s="216">
        <v>34905</v>
      </c>
      <c r="C10" s="216">
        <v>35168</v>
      </c>
      <c r="D10" s="220">
        <f t="shared" si="0"/>
        <v>35037</v>
      </c>
      <c r="E10" s="42">
        <v>335</v>
      </c>
      <c r="F10" s="42">
        <v>352</v>
      </c>
      <c r="G10" s="232">
        <f t="shared" si="1"/>
        <v>344</v>
      </c>
      <c r="H10" s="232" t="s">
        <v>11</v>
      </c>
      <c r="I10" s="257">
        <f aca="true" t="shared" si="3" ref="I10:I17">D10+G10</f>
        <v>35381</v>
      </c>
    </row>
    <row r="11" spans="1:9" s="42" customFormat="1" ht="15.75" customHeight="1">
      <c r="A11" s="184">
        <v>2007</v>
      </c>
      <c r="B11" s="216">
        <v>35168</v>
      </c>
      <c r="C11" s="216">
        <v>35356</v>
      </c>
      <c r="D11" s="220">
        <f t="shared" si="0"/>
        <v>35262</v>
      </c>
      <c r="E11" s="42">
        <v>352</v>
      </c>
      <c r="F11" s="42">
        <v>403</v>
      </c>
      <c r="G11" s="232">
        <f aca="true" t="shared" si="4" ref="G11:G17">ROUND((E11+F11)/2,0)</f>
        <v>378</v>
      </c>
      <c r="H11" s="232" t="s">
        <v>11</v>
      </c>
      <c r="I11" s="257">
        <f t="shared" si="3"/>
        <v>35640</v>
      </c>
    </row>
    <row r="12" spans="1:9" s="42" customFormat="1" ht="15.75" customHeight="1">
      <c r="A12" s="184">
        <v>2008</v>
      </c>
      <c r="B12" s="216">
        <v>35356</v>
      </c>
      <c r="C12" s="216">
        <v>35589</v>
      </c>
      <c r="D12" s="220">
        <f t="shared" si="0"/>
        <v>35473</v>
      </c>
      <c r="E12" s="42">
        <v>403</v>
      </c>
      <c r="F12" s="42">
        <v>389</v>
      </c>
      <c r="G12" s="232">
        <f t="shared" si="4"/>
        <v>396</v>
      </c>
      <c r="H12" s="232" t="s">
        <v>11</v>
      </c>
      <c r="I12" s="257">
        <f t="shared" si="3"/>
        <v>35869</v>
      </c>
    </row>
    <row r="13" spans="1:9" s="42" customFormat="1" ht="15.75" customHeight="1">
      <c r="A13" s="184">
        <v>2009</v>
      </c>
      <c r="B13" s="216">
        <v>35589</v>
      </c>
      <c r="C13" s="216">
        <v>35894</v>
      </c>
      <c r="D13" s="220">
        <f t="shared" si="0"/>
        <v>35742</v>
      </c>
      <c r="E13" s="42">
        <v>389</v>
      </c>
      <c r="F13" s="42">
        <v>383</v>
      </c>
      <c r="G13" s="232">
        <f t="shared" si="4"/>
        <v>386</v>
      </c>
      <c r="H13" s="232" t="s">
        <v>11</v>
      </c>
      <c r="I13" s="257">
        <f t="shared" si="3"/>
        <v>36128</v>
      </c>
    </row>
    <row r="14" spans="1:9" s="42" customFormat="1" ht="15.75" customHeight="1">
      <c r="A14" s="184">
        <v>2010</v>
      </c>
      <c r="B14" s="216">
        <v>35894</v>
      </c>
      <c r="C14" s="216">
        <v>36149</v>
      </c>
      <c r="D14" s="220">
        <f t="shared" si="0"/>
        <v>36022</v>
      </c>
      <c r="E14" s="42">
        <v>383</v>
      </c>
      <c r="F14" s="42">
        <v>339</v>
      </c>
      <c r="G14" s="232">
        <f t="shared" si="4"/>
        <v>361</v>
      </c>
      <c r="H14" s="232" t="s">
        <v>11</v>
      </c>
      <c r="I14" s="257">
        <f t="shared" si="3"/>
        <v>36383</v>
      </c>
    </row>
    <row r="15" spans="1:9" s="42" customFormat="1" ht="15.75" customHeight="1">
      <c r="A15" s="187">
        <v>2011</v>
      </c>
      <c r="B15" s="216">
        <v>36149</v>
      </c>
      <c r="C15" s="216">
        <v>36475</v>
      </c>
      <c r="D15" s="220">
        <f t="shared" si="0"/>
        <v>36312</v>
      </c>
      <c r="E15" s="42">
        <v>339</v>
      </c>
      <c r="F15" s="42">
        <v>331</v>
      </c>
      <c r="G15" s="232">
        <f t="shared" si="4"/>
        <v>335</v>
      </c>
      <c r="H15" s="232" t="s">
        <v>11</v>
      </c>
      <c r="I15" s="257">
        <f t="shared" si="3"/>
        <v>36647</v>
      </c>
    </row>
    <row r="16" spans="1:9" s="42" customFormat="1" ht="15.75" customHeight="1">
      <c r="A16" s="184">
        <v>2012</v>
      </c>
      <c r="B16" s="216">
        <v>36475</v>
      </c>
      <c r="C16" s="216">
        <v>36838</v>
      </c>
      <c r="D16" s="220">
        <f t="shared" si="0"/>
        <v>36657</v>
      </c>
      <c r="E16" s="42">
        <v>331</v>
      </c>
      <c r="F16" s="42">
        <v>325</v>
      </c>
      <c r="G16" s="232">
        <f t="shared" si="4"/>
        <v>328</v>
      </c>
      <c r="H16" s="232" t="s">
        <v>11</v>
      </c>
      <c r="I16" s="257">
        <f t="shared" si="3"/>
        <v>36985</v>
      </c>
    </row>
    <row r="17" spans="1:9" s="42" customFormat="1" ht="15.75" customHeight="1">
      <c r="A17" s="184">
        <v>2013</v>
      </c>
      <c r="B17" s="216">
        <v>36838</v>
      </c>
      <c r="C17" s="216">
        <v>37129</v>
      </c>
      <c r="D17" s="220">
        <f t="shared" si="0"/>
        <v>36984</v>
      </c>
      <c r="E17" s="42">
        <v>325</v>
      </c>
      <c r="F17" s="42">
        <v>333</v>
      </c>
      <c r="G17" s="232">
        <f t="shared" si="4"/>
        <v>329</v>
      </c>
      <c r="H17" s="232" t="s">
        <v>11</v>
      </c>
      <c r="I17" s="257">
        <f t="shared" si="3"/>
        <v>37313</v>
      </c>
    </row>
    <row r="18" spans="1:9" s="42" customFormat="1" ht="15.75" customHeight="1">
      <c r="A18" s="184">
        <v>2014</v>
      </c>
      <c r="B18" s="216">
        <v>37129</v>
      </c>
      <c r="C18" s="216">
        <v>37366</v>
      </c>
      <c r="D18" s="220">
        <f aca="true" t="shared" si="5" ref="D18:D23">ROUND((B18+C18)/2,0)</f>
        <v>37248</v>
      </c>
      <c r="E18" s="42">
        <v>333</v>
      </c>
      <c r="F18" s="42">
        <v>295</v>
      </c>
      <c r="G18" s="232">
        <f aca="true" t="shared" si="6" ref="G18:G23">ROUND((E18+F18)/2,0)</f>
        <v>314</v>
      </c>
      <c r="H18" s="232" t="s">
        <v>11</v>
      </c>
      <c r="I18" s="257">
        <f aca="true" t="shared" si="7" ref="I18:I23">D18+G18</f>
        <v>37562</v>
      </c>
    </row>
    <row r="19" spans="1:9" s="42" customFormat="1" ht="15.75" customHeight="1">
      <c r="A19" s="184">
        <v>2015</v>
      </c>
      <c r="B19" s="216">
        <v>37366</v>
      </c>
      <c r="C19" s="216">
        <v>37622</v>
      </c>
      <c r="D19" s="220">
        <f t="shared" si="5"/>
        <v>37494</v>
      </c>
      <c r="E19" s="42">
        <v>295</v>
      </c>
      <c r="F19" s="42">
        <v>335</v>
      </c>
      <c r="G19" s="232">
        <f t="shared" si="6"/>
        <v>315</v>
      </c>
      <c r="H19" s="232" t="s">
        <v>11</v>
      </c>
      <c r="I19" s="257">
        <f t="shared" si="7"/>
        <v>37809</v>
      </c>
    </row>
    <row r="20" spans="1:9" s="42" customFormat="1" ht="15.75" customHeight="1">
      <c r="A20" s="187">
        <v>2016</v>
      </c>
      <c r="B20" s="216">
        <v>37622</v>
      </c>
      <c r="C20" s="216">
        <v>37810</v>
      </c>
      <c r="D20" s="220">
        <f t="shared" si="5"/>
        <v>37716</v>
      </c>
      <c r="E20" s="42">
        <v>335</v>
      </c>
      <c r="F20" s="42">
        <v>399</v>
      </c>
      <c r="G20" s="232">
        <f t="shared" si="6"/>
        <v>367</v>
      </c>
      <c r="H20" s="232" t="s">
        <v>11</v>
      </c>
      <c r="I20" s="257">
        <f t="shared" si="7"/>
        <v>38083</v>
      </c>
    </row>
    <row r="21" spans="1:9" s="42" customFormat="1" ht="15.75" customHeight="1">
      <c r="A21" s="187">
        <v>2017</v>
      </c>
      <c r="B21" s="216">
        <v>37810</v>
      </c>
      <c r="C21" s="216">
        <v>38114</v>
      </c>
      <c r="D21" s="220">
        <f t="shared" si="5"/>
        <v>37962</v>
      </c>
      <c r="E21" s="42">
        <v>399</v>
      </c>
      <c r="F21" s="42">
        <v>362</v>
      </c>
      <c r="G21" s="232">
        <f t="shared" si="6"/>
        <v>381</v>
      </c>
      <c r="H21" s="232" t="s">
        <v>11</v>
      </c>
      <c r="I21" s="257">
        <f t="shared" si="7"/>
        <v>38343</v>
      </c>
    </row>
    <row r="22" spans="1:9" s="42" customFormat="1" ht="15.75" customHeight="1">
      <c r="A22" s="187">
        <v>2018</v>
      </c>
      <c r="B22" s="216">
        <v>38114</v>
      </c>
      <c r="C22" s="216">
        <v>38378</v>
      </c>
      <c r="D22" s="220">
        <f t="shared" si="5"/>
        <v>38246</v>
      </c>
      <c r="E22" s="42">
        <v>362</v>
      </c>
      <c r="F22" s="42">
        <v>346</v>
      </c>
      <c r="G22" s="232">
        <f t="shared" si="6"/>
        <v>354</v>
      </c>
      <c r="H22" s="232" t="s">
        <v>11</v>
      </c>
      <c r="I22" s="257">
        <f t="shared" si="7"/>
        <v>38600</v>
      </c>
    </row>
    <row r="23" spans="1:9" s="42" customFormat="1" ht="15.75" customHeight="1" thickBot="1">
      <c r="A23" s="297">
        <v>2019</v>
      </c>
      <c r="B23" s="322">
        <v>38378</v>
      </c>
      <c r="C23" s="322">
        <v>38747</v>
      </c>
      <c r="D23" s="323">
        <f t="shared" si="5"/>
        <v>38563</v>
      </c>
      <c r="E23" s="305">
        <v>346</v>
      </c>
      <c r="F23" s="305">
        <v>346</v>
      </c>
      <c r="G23" s="324">
        <f t="shared" si="6"/>
        <v>346</v>
      </c>
      <c r="H23" s="324" t="s">
        <v>11</v>
      </c>
      <c r="I23" s="325">
        <f t="shared" si="7"/>
        <v>38909</v>
      </c>
    </row>
    <row r="24" spans="1:14" s="42" customFormat="1" ht="15.75" customHeight="1">
      <c r="A24" s="391" t="s">
        <v>635</v>
      </c>
      <c r="B24" s="391"/>
      <c r="C24" s="391"/>
      <c r="D24" s="391"/>
      <c r="E24" s="391"/>
      <c r="F24" s="391"/>
      <c r="G24" s="391"/>
      <c r="H24" s="391"/>
      <c r="I24" s="391"/>
      <c r="J24" s="181"/>
      <c r="K24" s="181"/>
      <c r="L24" s="181"/>
      <c r="M24" s="181"/>
      <c r="N24" s="181"/>
    </row>
    <row r="25" spans="1:9" s="42" customFormat="1" ht="15.75" customHeight="1">
      <c r="A25" s="439" t="s">
        <v>202</v>
      </c>
      <c r="B25" s="439"/>
      <c r="C25" s="439"/>
      <c r="D25" s="439"/>
      <c r="E25" s="439"/>
      <c r="F25" s="439"/>
      <c r="G25" s="439"/>
      <c r="H25" s="439"/>
      <c r="I25" s="439"/>
    </row>
    <row r="26" spans="1:9" s="42" customFormat="1" ht="15.75" customHeight="1">
      <c r="A26" s="440" t="s">
        <v>525</v>
      </c>
      <c r="B26" s="440"/>
      <c r="C26" s="440"/>
      <c r="D26" s="440"/>
      <c r="E26" s="440"/>
      <c r="F26" s="440"/>
      <c r="G26" s="440"/>
      <c r="H26" s="440"/>
      <c r="I26" s="440"/>
    </row>
    <row r="27" s="42" customFormat="1" ht="15.75">
      <c r="I27" s="48"/>
    </row>
  </sheetData>
  <sheetProtection/>
  <mergeCells count="5">
    <mergeCell ref="A2:I2"/>
    <mergeCell ref="A25:I25"/>
    <mergeCell ref="A26:I26"/>
    <mergeCell ref="A1:I1"/>
    <mergeCell ref="A24:I24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9"/>
  <sheetViews>
    <sheetView zoomScale="85" zoomScaleNormal="85" zoomScalePageLayoutView="0" workbookViewId="0" topLeftCell="A1">
      <selection activeCell="Q17" sqref="Q17"/>
    </sheetView>
  </sheetViews>
  <sheetFormatPr defaultColWidth="11.421875" defaultRowHeight="12.75"/>
  <cols>
    <col min="1" max="1" width="25.28125" style="149" bestFit="1" customWidth="1"/>
    <col min="2" max="2" width="9.28125" style="149" bestFit="1" customWidth="1"/>
    <col min="3" max="3" width="7.8515625" style="149" bestFit="1" customWidth="1"/>
    <col min="4" max="4" width="9.28125" style="149" bestFit="1" customWidth="1"/>
    <col min="5" max="5" width="8.8515625" style="149" bestFit="1" customWidth="1"/>
    <col min="6" max="6" width="14.140625" style="149" bestFit="1" customWidth="1"/>
    <col min="7" max="7" width="9.28125" style="149" bestFit="1" customWidth="1"/>
    <col min="8" max="8" width="9.7109375" style="149" bestFit="1" customWidth="1"/>
    <col min="9" max="9" width="9.00390625" style="149" bestFit="1" customWidth="1"/>
    <col min="10" max="10" width="9.28125" style="149" bestFit="1" customWidth="1"/>
    <col min="11" max="11" width="10.28125" style="149" bestFit="1" customWidth="1"/>
    <col min="12" max="12" width="9.28125" style="149" bestFit="1" customWidth="1"/>
    <col min="13" max="13" width="15.140625" style="149" bestFit="1" customWidth="1"/>
    <col min="14" max="16384" width="11.421875" style="149" customWidth="1"/>
  </cols>
  <sheetData>
    <row r="1" spans="1:13" ht="18" customHeight="1">
      <c r="A1" s="398" t="s">
        <v>220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6.5" customHeight="1">
      <c r="A2" s="399" t="s">
        <v>528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s="41" customFormat="1" ht="15.75" customHeight="1" thickBot="1">
      <c r="A3" s="400" t="s">
        <v>636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3" s="41" customFormat="1" ht="15.75" customHeight="1">
      <c r="A4" s="401"/>
      <c r="B4" s="330" t="s">
        <v>134</v>
      </c>
      <c r="C4" s="402" t="s">
        <v>122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3" s="41" customFormat="1" ht="15.75" customHeight="1">
      <c r="A5" s="401"/>
      <c r="B5" s="331"/>
      <c r="C5" s="332" t="s">
        <v>123</v>
      </c>
      <c r="D5" s="332" t="s">
        <v>124</v>
      </c>
      <c r="E5" s="332" t="s">
        <v>125</v>
      </c>
      <c r="F5" s="332" t="s">
        <v>126</v>
      </c>
      <c r="G5" s="332" t="s">
        <v>127</v>
      </c>
      <c r="H5" s="332" t="s">
        <v>128</v>
      </c>
      <c r="I5" s="332" t="s">
        <v>129</v>
      </c>
      <c r="J5" s="332" t="s">
        <v>130</v>
      </c>
      <c r="K5" s="332" t="s">
        <v>131</v>
      </c>
      <c r="L5" s="332" t="s">
        <v>132</v>
      </c>
      <c r="M5" s="332" t="s">
        <v>133</v>
      </c>
    </row>
    <row r="6" spans="1:13" s="41" customFormat="1" ht="15.75" customHeight="1">
      <c r="A6" s="72" t="s">
        <v>134</v>
      </c>
      <c r="B6" s="261">
        <v>38747</v>
      </c>
      <c r="C6" s="98">
        <v>5696</v>
      </c>
      <c r="D6" s="98">
        <v>5277</v>
      </c>
      <c r="E6" s="98">
        <v>4642</v>
      </c>
      <c r="F6" s="98">
        <v>2638</v>
      </c>
      <c r="G6" s="98">
        <v>6038</v>
      </c>
      <c r="H6" s="98">
        <v>473</v>
      </c>
      <c r="I6" s="98">
        <v>4465</v>
      </c>
      <c r="J6" s="98">
        <v>4399</v>
      </c>
      <c r="K6" s="98">
        <v>1690</v>
      </c>
      <c r="L6" s="98">
        <v>2322</v>
      </c>
      <c r="M6" s="98">
        <v>1107</v>
      </c>
    </row>
    <row r="7" spans="1:13" s="41" customFormat="1" ht="15.75" customHeight="1">
      <c r="A7" s="33" t="s">
        <v>135</v>
      </c>
      <c r="B7" s="261">
        <v>25485</v>
      </c>
      <c r="C7" s="98">
        <v>3264</v>
      </c>
      <c r="D7" s="98">
        <v>3323</v>
      </c>
      <c r="E7" s="98">
        <v>3393</v>
      </c>
      <c r="F7" s="98">
        <v>2077</v>
      </c>
      <c r="G7" s="98">
        <v>3750</v>
      </c>
      <c r="H7" s="98">
        <v>351</v>
      </c>
      <c r="I7" s="98">
        <v>2928</v>
      </c>
      <c r="J7" s="98">
        <v>2677</v>
      </c>
      <c r="K7" s="98">
        <v>1162</v>
      </c>
      <c r="L7" s="98">
        <v>1721</v>
      </c>
      <c r="M7" s="98">
        <v>839</v>
      </c>
    </row>
    <row r="8" spans="1:13" s="41" customFormat="1" ht="15.75" customHeight="1">
      <c r="A8" s="41" t="s">
        <v>22</v>
      </c>
      <c r="B8" s="262">
        <v>12905</v>
      </c>
      <c r="C8" s="68">
        <v>1642</v>
      </c>
      <c r="D8" s="68">
        <v>1709</v>
      </c>
      <c r="E8" s="68">
        <v>1734</v>
      </c>
      <c r="F8" s="68">
        <v>1040</v>
      </c>
      <c r="G8" s="68">
        <v>1934</v>
      </c>
      <c r="H8" s="68">
        <v>179</v>
      </c>
      <c r="I8" s="68">
        <v>1457</v>
      </c>
      <c r="J8" s="68">
        <v>1362</v>
      </c>
      <c r="K8" s="68">
        <v>561</v>
      </c>
      <c r="L8" s="68">
        <v>872</v>
      </c>
      <c r="M8" s="68">
        <v>415</v>
      </c>
    </row>
    <row r="9" spans="1:13" s="41" customFormat="1" ht="15.75" customHeight="1">
      <c r="A9" s="41" t="s">
        <v>21</v>
      </c>
      <c r="B9" s="262">
        <v>12580</v>
      </c>
      <c r="C9" s="68">
        <v>1622</v>
      </c>
      <c r="D9" s="68">
        <v>1614</v>
      </c>
      <c r="E9" s="68">
        <v>1659</v>
      </c>
      <c r="F9" s="68">
        <v>1037</v>
      </c>
      <c r="G9" s="68">
        <v>1816</v>
      </c>
      <c r="H9" s="68">
        <v>172</v>
      </c>
      <c r="I9" s="68">
        <v>1471</v>
      </c>
      <c r="J9" s="68">
        <v>1315</v>
      </c>
      <c r="K9" s="68">
        <v>601</v>
      </c>
      <c r="L9" s="68">
        <v>849</v>
      </c>
      <c r="M9" s="68">
        <v>424</v>
      </c>
    </row>
    <row r="10" spans="1:13" s="41" customFormat="1" ht="15.75" customHeight="1">
      <c r="A10" s="33" t="s">
        <v>136</v>
      </c>
      <c r="B10" s="261">
        <v>3732</v>
      </c>
      <c r="C10" s="98">
        <v>611</v>
      </c>
      <c r="D10" s="98">
        <v>605</v>
      </c>
      <c r="E10" s="98">
        <v>455</v>
      </c>
      <c r="F10" s="98">
        <v>201</v>
      </c>
      <c r="G10" s="98">
        <v>538</v>
      </c>
      <c r="H10" s="98">
        <v>47</v>
      </c>
      <c r="I10" s="98">
        <v>376</v>
      </c>
      <c r="J10" s="98">
        <v>404</v>
      </c>
      <c r="K10" s="98">
        <v>155</v>
      </c>
      <c r="L10" s="98">
        <v>249</v>
      </c>
      <c r="M10" s="98">
        <v>91</v>
      </c>
    </row>
    <row r="11" spans="1:13" s="41" customFormat="1" ht="15.75" customHeight="1">
      <c r="A11" s="41" t="s">
        <v>22</v>
      </c>
      <c r="B11" s="262">
        <v>1832</v>
      </c>
      <c r="C11" s="68">
        <v>328</v>
      </c>
      <c r="D11" s="68">
        <v>295</v>
      </c>
      <c r="E11" s="68">
        <v>222</v>
      </c>
      <c r="F11" s="68">
        <v>80</v>
      </c>
      <c r="G11" s="68">
        <v>259</v>
      </c>
      <c r="H11" s="68">
        <v>19</v>
      </c>
      <c r="I11" s="68">
        <v>187</v>
      </c>
      <c r="J11" s="68">
        <v>199</v>
      </c>
      <c r="K11" s="68">
        <v>65</v>
      </c>
      <c r="L11" s="68">
        <v>126</v>
      </c>
      <c r="M11" s="68">
        <v>52</v>
      </c>
    </row>
    <row r="12" spans="1:13" s="41" customFormat="1" ht="15.75" customHeight="1">
      <c r="A12" s="41" t="s">
        <v>21</v>
      </c>
      <c r="B12" s="262">
        <v>1900</v>
      </c>
      <c r="C12" s="68">
        <v>283</v>
      </c>
      <c r="D12" s="68">
        <v>310</v>
      </c>
      <c r="E12" s="68">
        <v>233</v>
      </c>
      <c r="F12" s="68">
        <v>121</v>
      </c>
      <c r="G12" s="68">
        <v>279</v>
      </c>
      <c r="H12" s="68">
        <v>28</v>
      </c>
      <c r="I12" s="68">
        <v>189</v>
      </c>
      <c r="J12" s="68">
        <v>205</v>
      </c>
      <c r="K12" s="68">
        <v>90</v>
      </c>
      <c r="L12" s="68">
        <v>123</v>
      </c>
      <c r="M12" s="68">
        <v>39</v>
      </c>
    </row>
    <row r="13" spans="1:13" s="41" customFormat="1" ht="15.75" customHeight="1">
      <c r="A13" s="33" t="s">
        <v>261</v>
      </c>
      <c r="B13" s="261">
        <v>7014</v>
      </c>
      <c r="C13" s="98">
        <v>1221</v>
      </c>
      <c r="D13" s="98">
        <v>942</v>
      </c>
      <c r="E13" s="98">
        <v>602</v>
      </c>
      <c r="F13" s="98">
        <v>314</v>
      </c>
      <c r="G13" s="98">
        <v>1447</v>
      </c>
      <c r="H13" s="98">
        <v>65</v>
      </c>
      <c r="I13" s="98">
        <v>710</v>
      </c>
      <c r="J13" s="98">
        <v>989</v>
      </c>
      <c r="K13" s="98">
        <v>284</v>
      </c>
      <c r="L13" s="98">
        <v>292</v>
      </c>
      <c r="M13" s="98">
        <v>148</v>
      </c>
    </row>
    <row r="14" spans="1:13" s="41" customFormat="1" ht="15.75" customHeight="1">
      <c r="A14" s="41" t="s">
        <v>146</v>
      </c>
      <c r="B14" s="262">
        <v>23</v>
      </c>
      <c r="C14" s="68">
        <v>6</v>
      </c>
      <c r="D14" s="68">
        <v>3</v>
      </c>
      <c r="E14" s="68">
        <v>1</v>
      </c>
      <c r="F14" s="68">
        <v>7</v>
      </c>
      <c r="G14" s="68">
        <v>4</v>
      </c>
      <c r="H14" s="68">
        <v>0</v>
      </c>
      <c r="I14" s="68">
        <v>0</v>
      </c>
      <c r="J14" s="68">
        <v>2</v>
      </c>
      <c r="K14" s="68">
        <v>0</v>
      </c>
      <c r="L14" s="68">
        <v>0</v>
      </c>
      <c r="M14" s="68">
        <v>0</v>
      </c>
    </row>
    <row r="15" spans="1:13" s="41" customFormat="1" ht="15.75" customHeight="1">
      <c r="A15" s="41" t="s">
        <v>22</v>
      </c>
      <c r="B15" s="262">
        <v>12</v>
      </c>
      <c r="C15" s="68">
        <v>4</v>
      </c>
      <c r="D15" s="68">
        <v>1</v>
      </c>
      <c r="E15" s="68">
        <v>1</v>
      </c>
      <c r="F15" s="68">
        <v>3</v>
      </c>
      <c r="G15" s="68">
        <v>2</v>
      </c>
      <c r="H15" s="68">
        <v>0</v>
      </c>
      <c r="I15" s="68">
        <v>0</v>
      </c>
      <c r="J15" s="68">
        <v>1</v>
      </c>
      <c r="K15" s="68">
        <v>0</v>
      </c>
      <c r="L15" s="68">
        <v>0</v>
      </c>
      <c r="M15" s="68">
        <v>0</v>
      </c>
    </row>
    <row r="16" spans="1:13" s="41" customFormat="1" ht="15.75" customHeight="1">
      <c r="A16" s="41" t="s">
        <v>21</v>
      </c>
      <c r="B16" s="262">
        <v>11</v>
      </c>
      <c r="C16" s="68">
        <v>2</v>
      </c>
      <c r="D16" s="68">
        <v>2</v>
      </c>
      <c r="E16" s="68">
        <v>0</v>
      </c>
      <c r="F16" s="68">
        <v>4</v>
      </c>
      <c r="G16" s="68">
        <v>2</v>
      </c>
      <c r="H16" s="68">
        <v>0</v>
      </c>
      <c r="I16" s="68">
        <v>0</v>
      </c>
      <c r="J16" s="68">
        <v>1</v>
      </c>
      <c r="K16" s="68">
        <v>0</v>
      </c>
      <c r="L16" s="68">
        <v>0</v>
      </c>
      <c r="M16" s="68">
        <v>0</v>
      </c>
    </row>
    <row r="17" spans="1:13" s="41" customFormat="1" ht="15.75" customHeight="1">
      <c r="A17" s="41" t="s">
        <v>173</v>
      </c>
      <c r="B17" s="262">
        <v>8</v>
      </c>
      <c r="C17" s="68">
        <v>4</v>
      </c>
      <c r="D17" s="68">
        <v>0</v>
      </c>
      <c r="E17" s="68">
        <v>0</v>
      </c>
      <c r="F17" s="68">
        <v>0</v>
      </c>
      <c r="G17" s="68">
        <v>1</v>
      </c>
      <c r="H17" s="68">
        <v>0</v>
      </c>
      <c r="I17" s="68">
        <v>3</v>
      </c>
      <c r="J17" s="68">
        <v>0</v>
      </c>
      <c r="K17" s="68">
        <v>0</v>
      </c>
      <c r="L17" s="68">
        <v>0</v>
      </c>
      <c r="M17" s="68">
        <v>0</v>
      </c>
    </row>
    <row r="18" spans="1:13" s="41" customFormat="1" ht="15.75" customHeight="1">
      <c r="A18" s="41" t="s">
        <v>22</v>
      </c>
      <c r="B18" s="262">
        <v>6</v>
      </c>
      <c r="C18" s="68">
        <v>2</v>
      </c>
      <c r="D18" s="68">
        <v>0</v>
      </c>
      <c r="E18" s="68">
        <v>0</v>
      </c>
      <c r="F18" s="68">
        <v>0</v>
      </c>
      <c r="G18" s="68">
        <v>1</v>
      </c>
      <c r="H18" s="68">
        <v>0</v>
      </c>
      <c r="I18" s="68">
        <v>3</v>
      </c>
      <c r="J18" s="68">
        <v>0</v>
      </c>
      <c r="K18" s="68">
        <v>0</v>
      </c>
      <c r="L18" s="68">
        <v>0</v>
      </c>
      <c r="M18" s="68">
        <v>0</v>
      </c>
    </row>
    <row r="19" spans="1:13" s="41" customFormat="1" ht="15.75" customHeight="1">
      <c r="A19" s="41" t="s">
        <v>21</v>
      </c>
      <c r="B19" s="262">
        <v>2</v>
      </c>
      <c r="C19" s="68">
        <v>2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</row>
    <row r="20" spans="1:13" s="41" customFormat="1" ht="15.75" customHeight="1">
      <c r="A20" s="41" t="s">
        <v>147</v>
      </c>
      <c r="B20" s="262">
        <v>24</v>
      </c>
      <c r="C20" s="68">
        <v>9</v>
      </c>
      <c r="D20" s="68">
        <v>5</v>
      </c>
      <c r="E20" s="68">
        <v>1</v>
      </c>
      <c r="F20" s="68">
        <v>1</v>
      </c>
      <c r="G20" s="68">
        <v>3</v>
      </c>
      <c r="H20" s="68">
        <v>0</v>
      </c>
      <c r="I20" s="68">
        <v>1</v>
      </c>
      <c r="J20" s="68">
        <v>4</v>
      </c>
      <c r="K20" s="68">
        <v>0</v>
      </c>
      <c r="L20" s="68">
        <v>0</v>
      </c>
      <c r="M20" s="68">
        <v>0</v>
      </c>
    </row>
    <row r="21" spans="1:13" s="41" customFormat="1" ht="15.75" customHeight="1">
      <c r="A21" s="41" t="s">
        <v>22</v>
      </c>
      <c r="B21" s="262">
        <v>12</v>
      </c>
      <c r="C21" s="68">
        <v>5</v>
      </c>
      <c r="D21" s="68">
        <v>3</v>
      </c>
      <c r="E21" s="68">
        <v>0</v>
      </c>
      <c r="F21" s="68">
        <v>0</v>
      </c>
      <c r="G21" s="68">
        <v>1</v>
      </c>
      <c r="H21" s="68">
        <v>0</v>
      </c>
      <c r="I21" s="68">
        <v>1</v>
      </c>
      <c r="J21" s="68">
        <v>2</v>
      </c>
      <c r="K21" s="68">
        <v>0</v>
      </c>
      <c r="L21" s="68">
        <v>0</v>
      </c>
      <c r="M21" s="68">
        <v>0</v>
      </c>
    </row>
    <row r="22" spans="1:13" s="41" customFormat="1" ht="15.75" customHeight="1">
      <c r="A22" s="41" t="s">
        <v>21</v>
      </c>
      <c r="B22" s="262">
        <v>12</v>
      </c>
      <c r="C22" s="68">
        <v>4</v>
      </c>
      <c r="D22" s="68">
        <v>2</v>
      </c>
      <c r="E22" s="68">
        <v>1</v>
      </c>
      <c r="F22" s="68">
        <v>1</v>
      </c>
      <c r="G22" s="68">
        <v>2</v>
      </c>
      <c r="H22" s="68">
        <v>0</v>
      </c>
      <c r="I22" s="68">
        <v>0</v>
      </c>
      <c r="J22" s="68">
        <v>2</v>
      </c>
      <c r="K22" s="68">
        <v>0</v>
      </c>
      <c r="L22" s="68">
        <v>0</v>
      </c>
      <c r="M22" s="68">
        <v>0</v>
      </c>
    </row>
    <row r="23" spans="1:13" s="41" customFormat="1" ht="15.75" customHeight="1">
      <c r="A23" s="41" t="s">
        <v>148</v>
      </c>
      <c r="B23" s="262">
        <v>1694</v>
      </c>
      <c r="C23" s="68">
        <v>341</v>
      </c>
      <c r="D23" s="68">
        <v>205</v>
      </c>
      <c r="E23" s="68">
        <v>65</v>
      </c>
      <c r="F23" s="68">
        <v>119</v>
      </c>
      <c r="G23" s="68">
        <v>281</v>
      </c>
      <c r="H23" s="68">
        <v>36</v>
      </c>
      <c r="I23" s="68">
        <v>165</v>
      </c>
      <c r="J23" s="68">
        <v>235</v>
      </c>
      <c r="K23" s="68">
        <v>90</v>
      </c>
      <c r="L23" s="68">
        <v>100</v>
      </c>
      <c r="M23" s="68">
        <v>57</v>
      </c>
    </row>
    <row r="24" spans="1:13" s="41" customFormat="1" ht="15.75" customHeight="1">
      <c r="A24" s="41" t="s">
        <v>22</v>
      </c>
      <c r="B24" s="262">
        <v>793</v>
      </c>
      <c r="C24" s="68">
        <v>163</v>
      </c>
      <c r="D24" s="68">
        <v>98</v>
      </c>
      <c r="E24" s="68">
        <v>34</v>
      </c>
      <c r="F24" s="68">
        <v>50</v>
      </c>
      <c r="G24" s="68">
        <v>133</v>
      </c>
      <c r="H24" s="68">
        <v>21</v>
      </c>
      <c r="I24" s="68">
        <v>78</v>
      </c>
      <c r="J24" s="68">
        <v>96</v>
      </c>
      <c r="K24" s="68">
        <v>41</v>
      </c>
      <c r="L24" s="68">
        <v>50</v>
      </c>
      <c r="M24" s="68">
        <v>29</v>
      </c>
    </row>
    <row r="25" spans="1:13" s="41" customFormat="1" ht="15.75" customHeight="1">
      <c r="A25" s="41" t="s">
        <v>21</v>
      </c>
      <c r="B25" s="262">
        <v>901</v>
      </c>
      <c r="C25" s="68">
        <v>178</v>
      </c>
      <c r="D25" s="68">
        <v>107</v>
      </c>
      <c r="E25" s="68">
        <v>31</v>
      </c>
      <c r="F25" s="68">
        <v>69</v>
      </c>
      <c r="G25" s="68">
        <v>148</v>
      </c>
      <c r="H25" s="68">
        <v>15</v>
      </c>
      <c r="I25" s="68">
        <v>87</v>
      </c>
      <c r="J25" s="68">
        <v>139</v>
      </c>
      <c r="K25" s="68">
        <v>49</v>
      </c>
      <c r="L25" s="68">
        <v>50</v>
      </c>
      <c r="M25" s="68">
        <v>28</v>
      </c>
    </row>
    <row r="26" spans="1:13" s="41" customFormat="1" ht="15.75" customHeight="1">
      <c r="A26" s="41" t="s">
        <v>56</v>
      </c>
      <c r="B26" s="262">
        <v>2</v>
      </c>
      <c r="C26" s="68">
        <v>0</v>
      </c>
      <c r="D26" s="68">
        <v>0</v>
      </c>
      <c r="E26" s="68">
        <v>1</v>
      </c>
      <c r="F26" s="68">
        <v>0</v>
      </c>
      <c r="G26" s="68">
        <v>1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</row>
    <row r="27" spans="1:13" s="41" customFormat="1" ht="15.75" customHeight="1">
      <c r="A27" s="41" t="s">
        <v>22</v>
      </c>
      <c r="B27" s="262">
        <v>2</v>
      </c>
      <c r="C27" s="68">
        <v>0</v>
      </c>
      <c r="D27" s="68">
        <v>0</v>
      </c>
      <c r="E27" s="68">
        <v>1</v>
      </c>
      <c r="F27" s="68">
        <v>0</v>
      </c>
      <c r="G27" s="68">
        <v>1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</row>
    <row r="28" spans="1:13" s="41" customFormat="1" ht="15.75" customHeight="1">
      <c r="A28" s="41" t="s">
        <v>149</v>
      </c>
      <c r="B28" s="262">
        <v>9</v>
      </c>
      <c r="C28" s="68">
        <v>1</v>
      </c>
      <c r="D28" s="68">
        <v>4</v>
      </c>
      <c r="E28" s="68">
        <v>0</v>
      </c>
      <c r="F28" s="68">
        <v>0</v>
      </c>
      <c r="G28" s="68">
        <v>1</v>
      </c>
      <c r="H28" s="68">
        <v>0</v>
      </c>
      <c r="I28" s="68">
        <v>0</v>
      </c>
      <c r="J28" s="68">
        <v>0</v>
      </c>
      <c r="K28" s="68">
        <v>0</v>
      </c>
      <c r="L28" s="68">
        <v>2</v>
      </c>
      <c r="M28" s="68">
        <v>1</v>
      </c>
    </row>
    <row r="29" spans="1:13" s="41" customFormat="1" ht="15.75" customHeight="1">
      <c r="A29" s="41" t="s">
        <v>22</v>
      </c>
      <c r="B29" s="262">
        <v>5</v>
      </c>
      <c r="C29" s="68">
        <v>1</v>
      </c>
      <c r="D29" s="68">
        <v>2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1</v>
      </c>
      <c r="M29" s="68">
        <v>1</v>
      </c>
    </row>
    <row r="30" spans="1:13" s="41" customFormat="1" ht="15.75" customHeight="1">
      <c r="A30" s="41" t="s">
        <v>21</v>
      </c>
      <c r="B30" s="262">
        <v>4</v>
      </c>
      <c r="C30" s="68">
        <v>0</v>
      </c>
      <c r="D30" s="68">
        <v>2</v>
      </c>
      <c r="E30" s="68">
        <v>0</v>
      </c>
      <c r="F30" s="68">
        <v>0</v>
      </c>
      <c r="G30" s="68">
        <v>1</v>
      </c>
      <c r="H30" s="68">
        <v>0</v>
      </c>
      <c r="I30" s="68">
        <v>0</v>
      </c>
      <c r="J30" s="68">
        <v>0</v>
      </c>
      <c r="K30" s="68">
        <v>0</v>
      </c>
      <c r="L30" s="68">
        <v>1</v>
      </c>
      <c r="M30" s="68">
        <v>0</v>
      </c>
    </row>
    <row r="31" spans="1:13" s="41" customFormat="1" ht="15.75" customHeight="1">
      <c r="A31" s="41" t="s">
        <v>150</v>
      </c>
      <c r="B31" s="262">
        <v>90</v>
      </c>
      <c r="C31" s="68">
        <v>14</v>
      </c>
      <c r="D31" s="68">
        <v>15</v>
      </c>
      <c r="E31" s="68">
        <v>5</v>
      </c>
      <c r="F31" s="68">
        <v>16</v>
      </c>
      <c r="G31" s="68">
        <v>16</v>
      </c>
      <c r="H31" s="68">
        <v>0</v>
      </c>
      <c r="I31" s="68">
        <v>4</v>
      </c>
      <c r="J31" s="68">
        <v>14</v>
      </c>
      <c r="K31" s="68">
        <v>3</v>
      </c>
      <c r="L31" s="68">
        <v>0</v>
      </c>
      <c r="M31" s="68">
        <v>3</v>
      </c>
    </row>
    <row r="32" spans="1:13" s="41" customFormat="1" ht="15.75" customHeight="1">
      <c r="A32" s="41" t="s">
        <v>22</v>
      </c>
      <c r="B32" s="262">
        <v>41</v>
      </c>
      <c r="C32" s="68">
        <v>4</v>
      </c>
      <c r="D32" s="68">
        <v>8</v>
      </c>
      <c r="E32" s="68">
        <v>1</v>
      </c>
      <c r="F32" s="68">
        <v>11</v>
      </c>
      <c r="G32" s="68">
        <v>8</v>
      </c>
      <c r="H32" s="68">
        <v>0</v>
      </c>
      <c r="I32" s="68">
        <v>2</v>
      </c>
      <c r="J32" s="68">
        <v>6</v>
      </c>
      <c r="K32" s="68">
        <v>1</v>
      </c>
      <c r="L32" s="68">
        <v>0</v>
      </c>
      <c r="M32" s="68">
        <v>0</v>
      </c>
    </row>
    <row r="33" spans="1:13" s="41" customFormat="1" ht="15.75" customHeight="1">
      <c r="A33" s="41" t="s">
        <v>21</v>
      </c>
      <c r="B33" s="262">
        <v>49</v>
      </c>
      <c r="C33" s="68">
        <v>10</v>
      </c>
      <c r="D33" s="68">
        <v>7</v>
      </c>
      <c r="E33" s="68">
        <v>4</v>
      </c>
      <c r="F33" s="68">
        <v>5</v>
      </c>
      <c r="G33" s="68">
        <v>8</v>
      </c>
      <c r="H33" s="68">
        <v>0</v>
      </c>
      <c r="I33" s="68">
        <v>2</v>
      </c>
      <c r="J33" s="68">
        <v>8</v>
      </c>
      <c r="K33" s="68">
        <v>2</v>
      </c>
      <c r="L33" s="68">
        <v>0</v>
      </c>
      <c r="M33" s="68">
        <v>3</v>
      </c>
    </row>
    <row r="34" spans="1:13" s="41" customFormat="1" ht="15.75" customHeight="1">
      <c r="A34" s="41" t="s">
        <v>151</v>
      </c>
      <c r="B34" s="262">
        <v>51</v>
      </c>
      <c r="C34" s="68">
        <v>4</v>
      </c>
      <c r="D34" s="68">
        <v>3</v>
      </c>
      <c r="E34" s="68">
        <v>0</v>
      </c>
      <c r="F34" s="68">
        <v>0</v>
      </c>
      <c r="G34" s="68">
        <v>37</v>
      </c>
      <c r="H34" s="68">
        <v>0</v>
      </c>
      <c r="I34" s="68">
        <v>6</v>
      </c>
      <c r="J34" s="68">
        <v>0</v>
      </c>
      <c r="K34" s="68">
        <v>0</v>
      </c>
      <c r="L34" s="68">
        <v>1</v>
      </c>
      <c r="M34" s="68">
        <v>0</v>
      </c>
    </row>
    <row r="35" spans="1:13" s="41" customFormat="1" ht="15.75" customHeight="1">
      <c r="A35" s="41" t="s">
        <v>22</v>
      </c>
      <c r="B35" s="262">
        <v>24</v>
      </c>
      <c r="C35" s="68">
        <v>2</v>
      </c>
      <c r="D35" s="68">
        <v>0</v>
      </c>
      <c r="E35" s="68">
        <v>0</v>
      </c>
      <c r="F35" s="68">
        <v>0</v>
      </c>
      <c r="G35" s="68">
        <v>18</v>
      </c>
      <c r="H35" s="68">
        <v>0</v>
      </c>
      <c r="I35" s="68">
        <v>4</v>
      </c>
      <c r="J35" s="68">
        <v>0</v>
      </c>
      <c r="K35" s="68">
        <v>0</v>
      </c>
      <c r="L35" s="68">
        <v>0</v>
      </c>
      <c r="M35" s="68">
        <v>0</v>
      </c>
    </row>
    <row r="36" spans="1:13" s="41" customFormat="1" ht="15.75" customHeight="1">
      <c r="A36" s="41" t="s">
        <v>21</v>
      </c>
      <c r="B36" s="262">
        <v>27</v>
      </c>
      <c r="C36" s="68">
        <v>2</v>
      </c>
      <c r="D36" s="68">
        <v>3</v>
      </c>
      <c r="E36" s="68">
        <v>0</v>
      </c>
      <c r="F36" s="68">
        <v>0</v>
      </c>
      <c r="G36" s="68">
        <v>19</v>
      </c>
      <c r="H36" s="68">
        <v>0</v>
      </c>
      <c r="I36" s="68">
        <v>2</v>
      </c>
      <c r="J36" s="68">
        <v>0</v>
      </c>
      <c r="K36" s="68">
        <v>0</v>
      </c>
      <c r="L36" s="68">
        <v>1</v>
      </c>
      <c r="M36" s="68">
        <v>0</v>
      </c>
    </row>
    <row r="37" spans="1:13" s="41" customFormat="1" ht="15.75" customHeight="1">
      <c r="A37" s="41" t="s">
        <v>167</v>
      </c>
      <c r="B37" s="262">
        <v>57</v>
      </c>
      <c r="C37" s="68">
        <v>11</v>
      </c>
      <c r="D37" s="68">
        <v>8</v>
      </c>
      <c r="E37" s="68">
        <v>3</v>
      </c>
      <c r="F37" s="68">
        <v>1</v>
      </c>
      <c r="G37" s="68">
        <v>16</v>
      </c>
      <c r="H37" s="68">
        <v>1</v>
      </c>
      <c r="I37" s="68">
        <v>4</v>
      </c>
      <c r="J37" s="68">
        <v>7</v>
      </c>
      <c r="K37" s="68">
        <v>2</v>
      </c>
      <c r="L37" s="68">
        <v>3</v>
      </c>
      <c r="M37" s="68">
        <v>1</v>
      </c>
    </row>
    <row r="38" spans="1:13" s="41" customFormat="1" ht="15.75" customHeight="1">
      <c r="A38" s="41" t="s">
        <v>22</v>
      </c>
      <c r="B38" s="262">
        <v>25</v>
      </c>
      <c r="C38" s="68">
        <v>4</v>
      </c>
      <c r="D38" s="68">
        <v>4</v>
      </c>
      <c r="E38" s="68">
        <v>1</v>
      </c>
      <c r="F38" s="68">
        <v>1</v>
      </c>
      <c r="G38" s="68">
        <v>8</v>
      </c>
      <c r="H38" s="68">
        <v>0</v>
      </c>
      <c r="I38" s="68">
        <v>0</v>
      </c>
      <c r="J38" s="68">
        <v>4</v>
      </c>
      <c r="K38" s="68">
        <v>1</v>
      </c>
      <c r="L38" s="68">
        <v>1</v>
      </c>
      <c r="M38" s="68">
        <v>1</v>
      </c>
    </row>
    <row r="39" spans="1:13" s="41" customFormat="1" ht="15.75" customHeight="1">
      <c r="A39" s="41" t="s">
        <v>21</v>
      </c>
      <c r="B39" s="262">
        <v>32</v>
      </c>
      <c r="C39" s="68">
        <v>7</v>
      </c>
      <c r="D39" s="68">
        <v>4</v>
      </c>
      <c r="E39" s="68">
        <v>2</v>
      </c>
      <c r="F39" s="68">
        <v>0</v>
      </c>
      <c r="G39" s="68">
        <v>8</v>
      </c>
      <c r="H39" s="68">
        <v>1</v>
      </c>
      <c r="I39" s="68">
        <v>4</v>
      </c>
      <c r="J39" s="68">
        <v>3</v>
      </c>
      <c r="K39" s="68">
        <v>1</v>
      </c>
      <c r="L39" s="68">
        <v>2</v>
      </c>
      <c r="M39" s="68">
        <v>0</v>
      </c>
    </row>
    <row r="40" spans="1:13" s="41" customFormat="1" ht="15.75" customHeight="1">
      <c r="A40" s="41" t="s">
        <v>152</v>
      </c>
      <c r="B40" s="262">
        <v>18</v>
      </c>
      <c r="C40" s="68">
        <v>4</v>
      </c>
      <c r="D40" s="68">
        <v>1</v>
      </c>
      <c r="E40" s="68">
        <v>1</v>
      </c>
      <c r="F40" s="68">
        <v>2</v>
      </c>
      <c r="G40" s="68">
        <v>6</v>
      </c>
      <c r="H40" s="68">
        <v>0</v>
      </c>
      <c r="I40" s="68">
        <v>1</v>
      </c>
      <c r="J40" s="68">
        <v>2</v>
      </c>
      <c r="K40" s="68">
        <v>1</v>
      </c>
      <c r="L40" s="68">
        <v>0</v>
      </c>
      <c r="M40" s="68">
        <v>0</v>
      </c>
    </row>
    <row r="41" spans="1:13" s="41" customFormat="1" ht="15.75" customHeight="1">
      <c r="A41" s="41" t="s">
        <v>22</v>
      </c>
      <c r="B41" s="262">
        <v>8</v>
      </c>
      <c r="C41" s="68">
        <v>2</v>
      </c>
      <c r="D41" s="68">
        <v>0</v>
      </c>
      <c r="E41" s="68">
        <v>1</v>
      </c>
      <c r="F41" s="68">
        <v>0</v>
      </c>
      <c r="G41" s="68">
        <v>3</v>
      </c>
      <c r="H41" s="68">
        <v>0</v>
      </c>
      <c r="I41" s="68">
        <v>0</v>
      </c>
      <c r="J41" s="68">
        <v>2</v>
      </c>
      <c r="K41" s="68">
        <v>0</v>
      </c>
      <c r="L41" s="68">
        <v>0</v>
      </c>
      <c r="M41" s="68">
        <v>0</v>
      </c>
    </row>
    <row r="42" spans="1:13" s="41" customFormat="1" ht="15.75" customHeight="1">
      <c r="A42" s="41" t="s">
        <v>21</v>
      </c>
      <c r="B42" s="262">
        <v>10</v>
      </c>
      <c r="C42" s="68">
        <v>2</v>
      </c>
      <c r="D42" s="68">
        <v>1</v>
      </c>
      <c r="E42" s="68">
        <v>0</v>
      </c>
      <c r="F42" s="68">
        <v>2</v>
      </c>
      <c r="G42" s="68">
        <v>3</v>
      </c>
      <c r="H42" s="68">
        <v>0</v>
      </c>
      <c r="I42" s="68">
        <v>1</v>
      </c>
      <c r="J42" s="68">
        <v>0</v>
      </c>
      <c r="K42" s="68">
        <v>1</v>
      </c>
      <c r="L42" s="68">
        <v>0</v>
      </c>
      <c r="M42" s="68">
        <v>0</v>
      </c>
    </row>
    <row r="43" spans="1:13" s="41" customFormat="1" ht="15.75" customHeight="1">
      <c r="A43" s="41" t="s">
        <v>315</v>
      </c>
      <c r="B43" s="262">
        <v>2</v>
      </c>
      <c r="C43" s="68">
        <v>1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1</v>
      </c>
      <c r="K43" s="68">
        <v>0</v>
      </c>
      <c r="L43" s="68">
        <v>0</v>
      </c>
      <c r="M43" s="68">
        <v>0</v>
      </c>
    </row>
    <row r="44" spans="1:13" s="41" customFormat="1" ht="15.75" customHeight="1">
      <c r="A44" s="41" t="s">
        <v>22</v>
      </c>
      <c r="B44" s="262">
        <v>1</v>
      </c>
      <c r="C44" s="68">
        <v>1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</row>
    <row r="45" spans="1:13" s="41" customFormat="1" ht="15.75" customHeight="1">
      <c r="A45" s="41" t="s">
        <v>21</v>
      </c>
      <c r="B45" s="262">
        <v>1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1</v>
      </c>
      <c r="K45" s="68">
        <v>0</v>
      </c>
      <c r="L45" s="68">
        <v>0</v>
      </c>
      <c r="M45" s="68">
        <v>0</v>
      </c>
    </row>
    <row r="46" spans="1:13" s="41" customFormat="1" ht="15.75" customHeight="1">
      <c r="A46" s="41" t="s">
        <v>153</v>
      </c>
      <c r="B46" s="262">
        <v>1183</v>
      </c>
      <c r="C46" s="68">
        <v>163</v>
      </c>
      <c r="D46" s="68">
        <v>201</v>
      </c>
      <c r="E46" s="68">
        <v>307</v>
      </c>
      <c r="F46" s="68">
        <v>24</v>
      </c>
      <c r="G46" s="68">
        <v>196</v>
      </c>
      <c r="H46" s="68">
        <v>5</v>
      </c>
      <c r="I46" s="68">
        <v>71</v>
      </c>
      <c r="J46" s="68">
        <v>152</v>
      </c>
      <c r="K46" s="68">
        <v>37</v>
      </c>
      <c r="L46" s="68">
        <v>22</v>
      </c>
      <c r="M46" s="68">
        <v>5</v>
      </c>
    </row>
    <row r="47" spans="1:13" s="41" customFormat="1" ht="15.75" customHeight="1">
      <c r="A47" s="41" t="s">
        <v>22</v>
      </c>
      <c r="B47" s="262">
        <v>462</v>
      </c>
      <c r="C47" s="68">
        <v>55</v>
      </c>
      <c r="D47" s="68">
        <v>77</v>
      </c>
      <c r="E47" s="68">
        <v>119</v>
      </c>
      <c r="F47" s="68">
        <v>8</v>
      </c>
      <c r="G47" s="68">
        <v>89</v>
      </c>
      <c r="H47" s="68">
        <v>2</v>
      </c>
      <c r="I47" s="68">
        <v>29</v>
      </c>
      <c r="J47" s="68">
        <v>60</v>
      </c>
      <c r="K47" s="68">
        <v>12</v>
      </c>
      <c r="L47" s="68">
        <v>8</v>
      </c>
      <c r="M47" s="68">
        <v>3</v>
      </c>
    </row>
    <row r="48" spans="1:13" s="41" customFormat="1" ht="15.75" customHeight="1">
      <c r="A48" s="41" t="s">
        <v>21</v>
      </c>
      <c r="B48" s="262">
        <v>721</v>
      </c>
      <c r="C48" s="68">
        <v>108</v>
      </c>
      <c r="D48" s="68">
        <v>124</v>
      </c>
      <c r="E48" s="68">
        <v>188</v>
      </c>
      <c r="F48" s="68">
        <v>16</v>
      </c>
      <c r="G48" s="68">
        <v>107</v>
      </c>
      <c r="H48" s="68">
        <v>3</v>
      </c>
      <c r="I48" s="68">
        <v>42</v>
      </c>
      <c r="J48" s="68">
        <v>92</v>
      </c>
      <c r="K48" s="68">
        <v>25</v>
      </c>
      <c r="L48" s="68">
        <v>14</v>
      </c>
      <c r="M48" s="68">
        <v>2</v>
      </c>
    </row>
    <row r="49" spans="1:13" s="41" customFormat="1" ht="15.75" customHeight="1">
      <c r="A49" s="41" t="s">
        <v>162</v>
      </c>
      <c r="B49" s="262">
        <v>119</v>
      </c>
      <c r="C49" s="68">
        <v>18</v>
      </c>
      <c r="D49" s="68">
        <v>18</v>
      </c>
      <c r="E49" s="68">
        <v>0</v>
      </c>
      <c r="F49" s="68">
        <v>5</v>
      </c>
      <c r="G49" s="68">
        <v>39</v>
      </c>
      <c r="H49" s="68">
        <v>0</v>
      </c>
      <c r="I49" s="68">
        <v>19</v>
      </c>
      <c r="J49" s="68">
        <v>17</v>
      </c>
      <c r="K49" s="68">
        <v>0</v>
      </c>
      <c r="L49" s="68">
        <v>3</v>
      </c>
      <c r="M49" s="68">
        <v>0</v>
      </c>
    </row>
    <row r="50" spans="1:13" s="41" customFormat="1" ht="15.75" customHeight="1">
      <c r="A50" s="41" t="s">
        <v>22</v>
      </c>
      <c r="B50" s="262">
        <v>62</v>
      </c>
      <c r="C50" s="68">
        <v>10</v>
      </c>
      <c r="D50" s="68">
        <v>11</v>
      </c>
      <c r="E50" s="68">
        <v>0</v>
      </c>
      <c r="F50" s="68">
        <v>1</v>
      </c>
      <c r="G50" s="68">
        <v>22</v>
      </c>
      <c r="H50" s="68">
        <v>0</v>
      </c>
      <c r="I50" s="68">
        <v>9</v>
      </c>
      <c r="J50" s="68">
        <v>8</v>
      </c>
      <c r="K50" s="68">
        <v>0</v>
      </c>
      <c r="L50" s="68">
        <v>1</v>
      </c>
      <c r="M50" s="68">
        <v>0</v>
      </c>
    </row>
    <row r="51" spans="1:13" s="41" customFormat="1" ht="15.75" customHeight="1">
      <c r="A51" s="41" t="s">
        <v>21</v>
      </c>
      <c r="B51" s="262">
        <v>57</v>
      </c>
      <c r="C51" s="68">
        <v>8</v>
      </c>
      <c r="D51" s="68">
        <v>7</v>
      </c>
      <c r="E51" s="68">
        <v>0</v>
      </c>
      <c r="F51" s="68">
        <v>4</v>
      </c>
      <c r="G51" s="68">
        <v>17</v>
      </c>
      <c r="H51" s="68">
        <v>0</v>
      </c>
      <c r="I51" s="68">
        <v>10</v>
      </c>
      <c r="J51" s="68">
        <v>9</v>
      </c>
      <c r="K51" s="68">
        <v>0</v>
      </c>
      <c r="L51" s="68">
        <v>2</v>
      </c>
      <c r="M51" s="68">
        <v>0</v>
      </c>
    </row>
    <row r="52" spans="1:13" s="41" customFormat="1" ht="15.75" customHeight="1">
      <c r="A52" s="41" t="s">
        <v>235</v>
      </c>
      <c r="B52" s="262">
        <v>5</v>
      </c>
      <c r="C52" s="68">
        <v>1</v>
      </c>
      <c r="D52" s="68">
        <v>1</v>
      </c>
      <c r="E52" s="68">
        <v>0</v>
      </c>
      <c r="F52" s="68">
        <v>1</v>
      </c>
      <c r="G52" s="68">
        <v>1</v>
      </c>
      <c r="H52" s="68">
        <v>0</v>
      </c>
      <c r="I52" s="68">
        <v>0</v>
      </c>
      <c r="J52" s="68">
        <v>1</v>
      </c>
      <c r="K52" s="68">
        <v>0</v>
      </c>
      <c r="L52" s="68">
        <v>0</v>
      </c>
      <c r="M52" s="68">
        <v>0</v>
      </c>
    </row>
    <row r="53" spans="1:13" s="41" customFormat="1" ht="15.75" customHeight="1">
      <c r="A53" s="41" t="s">
        <v>22</v>
      </c>
      <c r="B53" s="262">
        <v>4</v>
      </c>
      <c r="C53" s="68">
        <v>1</v>
      </c>
      <c r="D53" s="68">
        <v>1</v>
      </c>
      <c r="E53" s="68">
        <v>0</v>
      </c>
      <c r="F53" s="68">
        <v>1</v>
      </c>
      <c r="G53" s="68">
        <v>0</v>
      </c>
      <c r="H53" s="68">
        <v>0</v>
      </c>
      <c r="I53" s="68">
        <v>0</v>
      </c>
      <c r="J53" s="68">
        <v>1</v>
      </c>
      <c r="K53" s="68">
        <v>0</v>
      </c>
      <c r="L53" s="68">
        <v>0</v>
      </c>
      <c r="M53" s="68">
        <v>0</v>
      </c>
    </row>
    <row r="54" spans="1:13" s="41" customFormat="1" ht="15.75" customHeight="1">
      <c r="A54" s="41" t="s">
        <v>21</v>
      </c>
      <c r="B54" s="262">
        <v>1</v>
      </c>
      <c r="C54" s="68">
        <v>0</v>
      </c>
      <c r="D54" s="68">
        <v>0</v>
      </c>
      <c r="E54" s="68">
        <v>0</v>
      </c>
      <c r="F54" s="68">
        <v>0</v>
      </c>
      <c r="G54" s="68">
        <v>1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</row>
    <row r="55" spans="1:13" s="41" customFormat="1" ht="15.75" customHeight="1">
      <c r="A55" s="41" t="s">
        <v>67</v>
      </c>
      <c r="B55" s="262">
        <v>3</v>
      </c>
      <c r="C55" s="68">
        <v>0</v>
      </c>
      <c r="D55" s="68">
        <v>0</v>
      </c>
      <c r="E55" s="68">
        <v>0</v>
      </c>
      <c r="F55" s="68">
        <v>1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2</v>
      </c>
    </row>
    <row r="56" spans="1:13" s="41" customFormat="1" ht="15.75" customHeight="1">
      <c r="A56" s="41" t="s">
        <v>22</v>
      </c>
      <c r="B56" s="262">
        <v>2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2</v>
      </c>
    </row>
    <row r="57" spans="1:13" s="41" customFormat="1" ht="15.75" customHeight="1">
      <c r="A57" s="41" t="s">
        <v>21</v>
      </c>
      <c r="B57" s="262">
        <v>1</v>
      </c>
      <c r="C57" s="68">
        <v>0</v>
      </c>
      <c r="D57" s="68">
        <v>0</v>
      </c>
      <c r="E57" s="68">
        <v>0</v>
      </c>
      <c r="F57" s="68">
        <v>1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</row>
    <row r="58" spans="1:13" s="41" customFormat="1" ht="15.75" customHeight="1">
      <c r="A58" s="41" t="s">
        <v>154</v>
      </c>
      <c r="B58" s="262">
        <v>6</v>
      </c>
      <c r="C58" s="68">
        <v>1</v>
      </c>
      <c r="D58" s="68">
        <v>2</v>
      </c>
      <c r="E58" s="68">
        <v>0</v>
      </c>
      <c r="F58" s="68">
        <v>2</v>
      </c>
      <c r="G58" s="68">
        <v>1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</row>
    <row r="59" spans="1:13" s="41" customFormat="1" ht="15.75" customHeight="1">
      <c r="A59" s="41" t="s">
        <v>22</v>
      </c>
      <c r="B59" s="262">
        <v>4</v>
      </c>
      <c r="C59" s="68">
        <v>1</v>
      </c>
      <c r="D59" s="68">
        <v>1</v>
      </c>
      <c r="E59" s="68">
        <v>0</v>
      </c>
      <c r="F59" s="68">
        <v>1</v>
      </c>
      <c r="G59" s="68">
        <v>1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</row>
    <row r="60" spans="1:13" s="41" customFormat="1" ht="15.75" customHeight="1">
      <c r="A60" s="41" t="s">
        <v>21</v>
      </c>
      <c r="B60" s="262">
        <v>2</v>
      </c>
      <c r="C60" s="68">
        <v>0</v>
      </c>
      <c r="D60" s="68">
        <v>1</v>
      </c>
      <c r="E60" s="68">
        <v>0</v>
      </c>
      <c r="F60" s="68">
        <v>1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</row>
    <row r="61" spans="1:13" s="41" customFormat="1" ht="15.75" customHeight="1">
      <c r="A61" s="41" t="s">
        <v>181</v>
      </c>
      <c r="B61" s="262">
        <v>3</v>
      </c>
      <c r="C61" s="68">
        <v>0</v>
      </c>
      <c r="D61" s="68">
        <v>1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2</v>
      </c>
      <c r="L61" s="68">
        <v>0</v>
      </c>
      <c r="M61" s="68">
        <v>0</v>
      </c>
    </row>
    <row r="62" spans="1:13" s="41" customFormat="1" ht="15.75" customHeight="1">
      <c r="A62" s="41" t="s">
        <v>22</v>
      </c>
      <c r="B62" s="262">
        <v>2</v>
      </c>
      <c r="C62" s="68">
        <v>0</v>
      </c>
      <c r="D62" s="68">
        <v>1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1</v>
      </c>
      <c r="L62" s="68">
        <v>0</v>
      </c>
      <c r="M62" s="68">
        <v>0</v>
      </c>
    </row>
    <row r="63" spans="1:13" s="41" customFormat="1" ht="15.75" customHeight="1">
      <c r="A63" s="41" t="s">
        <v>21</v>
      </c>
      <c r="B63" s="262">
        <v>1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1</v>
      </c>
      <c r="L63" s="68">
        <v>0</v>
      </c>
      <c r="M63" s="68">
        <v>0</v>
      </c>
    </row>
    <row r="64" spans="1:13" s="41" customFormat="1" ht="15.75" customHeight="1">
      <c r="A64" s="41" t="s">
        <v>155</v>
      </c>
      <c r="B64" s="262">
        <v>72</v>
      </c>
      <c r="C64" s="68">
        <v>15</v>
      </c>
      <c r="D64" s="68">
        <v>19</v>
      </c>
      <c r="E64" s="68">
        <v>2</v>
      </c>
      <c r="F64" s="68">
        <v>6</v>
      </c>
      <c r="G64" s="68">
        <v>12</v>
      </c>
      <c r="H64" s="68">
        <v>0</v>
      </c>
      <c r="I64" s="68">
        <v>3</v>
      </c>
      <c r="J64" s="68">
        <v>9</v>
      </c>
      <c r="K64" s="68">
        <v>1</v>
      </c>
      <c r="L64" s="68">
        <v>2</v>
      </c>
      <c r="M64" s="68">
        <v>3</v>
      </c>
    </row>
    <row r="65" spans="1:13" s="41" customFormat="1" ht="15.75" customHeight="1">
      <c r="A65" s="41" t="s">
        <v>22</v>
      </c>
      <c r="B65" s="262">
        <v>31</v>
      </c>
      <c r="C65" s="68">
        <v>8</v>
      </c>
      <c r="D65" s="68">
        <v>7</v>
      </c>
      <c r="E65" s="68">
        <v>1</v>
      </c>
      <c r="F65" s="68">
        <v>3</v>
      </c>
      <c r="G65" s="68">
        <v>4</v>
      </c>
      <c r="H65" s="68">
        <v>0</v>
      </c>
      <c r="I65" s="68">
        <v>1</v>
      </c>
      <c r="J65" s="68">
        <v>4</v>
      </c>
      <c r="K65" s="68">
        <v>0</v>
      </c>
      <c r="L65" s="68">
        <v>2</v>
      </c>
      <c r="M65" s="68">
        <v>1</v>
      </c>
    </row>
    <row r="66" spans="1:13" s="41" customFormat="1" ht="15.75" customHeight="1">
      <c r="A66" s="41" t="s">
        <v>21</v>
      </c>
      <c r="B66" s="262">
        <v>41</v>
      </c>
      <c r="C66" s="68">
        <v>7</v>
      </c>
      <c r="D66" s="68">
        <v>12</v>
      </c>
      <c r="E66" s="68">
        <v>1</v>
      </c>
      <c r="F66" s="68">
        <v>3</v>
      </c>
      <c r="G66" s="68">
        <v>8</v>
      </c>
      <c r="H66" s="68">
        <v>0</v>
      </c>
      <c r="I66" s="68">
        <v>2</v>
      </c>
      <c r="J66" s="68">
        <v>5</v>
      </c>
      <c r="K66" s="68">
        <v>1</v>
      </c>
      <c r="L66" s="68">
        <v>0</v>
      </c>
      <c r="M66" s="68">
        <v>2</v>
      </c>
    </row>
    <row r="67" spans="1:13" s="41" customFormat="1" ht="15.75" customHeight="1">
      <c r="A67" s="41" t="s">
        <v>156</v>
      </c>
      <c r="B67" s="262">
        <v>7</v>
      </c>
      <c r="C67" s="68">
        <v>1</v>
      </c>
      <c r="D67" s="68">
        <v>1</v>
      </c>
      <c r="E67" s="68">
        <v>1</v>
      </c>
      <c r="F67" s="68">
        <v>1</v>
      </c>
      <c r="G67" s="68">
        <v>1</v>
      </c>
      <c r="H67" s="68">
        <v>0</v>
      </c>
      <c r="I67" s="68">
        <v>0</v>
      </c>
      <c r="J67" s="68">
        <v>1</v>
      </c>
      <c r="K67" s="68">
        <v>0</v>
      </c>
      <c r="L67" s="68">
        <v>1</v>
      </c>
      <c r="M67" s="68">
        <v>0</v>
      </c>
    </row>
    <row r="68" spans="1:13" s="41" customFormat="1" ht="15.75" customHeight="1">
      <c r="A68" s="41" t="s">
        <v>22</v>
      </c>
      <c r="B68" s="262">
        <v>4</v>
      </c>
      <c r="C68" s="68">
        <v>1</v>
      </c>
      <c r="D68" s="68">
        <v>1</v>
      </c>
      <c r="E68" s="68">
        <v>0</v>
      </c>
      <c r="F68" s="68">
        <v>1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1</v>
      </c>
      <c r="M68" s="68">
        <v>0</v>
      </c>
    </row>
    <row r="69" spans="1:13" s="41" customFormat="1" ht="15.75" customHeight="1">
      <c r="A69" s="41" t="s">
        <v>21</v>
      </c>
      <c r="B69" s="262">
        <v>3</v>
      </c>
      <c r="C69" s="68">
        <v>0</v>
      </c>
      <c r="D69" s="68">
        <v>0</v>
      </c>
      <c r="E69" s="68">
        <v>1</v>
      </c>
      <c r="F69" s="68">
        <v>0</v>
      </c>
      <c r="G69" s="68">
        <v>1</v>
      </c>
      <c r="H69" s="68">
        <v>0</v>
      </c>
      <c r="I69" s="68">
        <v>0</v>
      </c>
      <c r="J69" s="68">
        <v>1</v>
      </c>
      <c r="K69" s="68">
        <v>0</v>
      </c>
      <c r="L69" s="68">
        <v>0</v>
      </c>
      <c r="M69" s="68">
        <v>0</v>
      </c>
    </row>
    <row r="70" spans="1:13" s="41" customFormat="1" ht="15.75" customHeight="1">
      <c r="A70" s="41" t="s">
        <v>157</v>
      </c>
      <c r="B70" s="262">
        <v>2297</v>
      </c>
      <c r="C70" s="68">
        <v>392</v>
      </c>
      <c r="D70" s="68">
        <v>237</v>
      </c>
      <c r="E70" s="68">
        <v>118</v>
      </c>
      <c r="F70" s="68">
        <v>102</v>
      </c>
      <c r="G70" s="68">
        <v>376</v>
      </c>
      <c r="H70" s="68">
        <v>22</v>
      </c>
      <c r="I70" s="68">
        <v>327</v>
      </c>
      <c r="J70" s="68">
        <v>427</v>
      </c>
      <c r="K70" s="68">
        <v>100</v>
      </c>
      <c r="L70" s="68">
        <v>130</v>
      </c>
      <c r="M70" s="68">
        <v>66</v>
      </c>
    </row>
    <row r="71" spans="1:13" s="41" customFormat="1" ht="15.75" customHeight="1">
      <c r="A71" s="41" t="s">
        <v>22</v>
      </c>
      <c r="B71" s="262">
        <v>1249</v>
      </c>
      <c r="C71" s="68">
        <v>216</v>
      </c>
      <c r="D71" s="68">
        <v>135</v>
      </c>
      <c r="E71" s="68">
        <v>69</v>
      </c>
      <c r="F71" s="68">
        <v>51</v>
      </c>
      <c r="G71" s="68">
        <v>216</v>
      </c>
      <c r="H71" s="68">
        <v>12</v>
      </c>
      <c r="I71" s="68">
        <v>171</v>
      </c>
      <c r="J71" s="68">
        <v>221</v>
      </c>
      <c r="K71" s="68">
        <v>58</v>
      </c>
      <c r="L71" s="68">
        <v>63</v>
      </c>
      <c r="M71" s="68">
        <v>37</v>
      </c>
    </row>
    <row r="72" spans="1:13" s="41" customFormat="1" ht="15.75" customHeight="1">
      <c r="A72" s="41" t="s">
        <v>21</v>
      </c>
      <c r="B72" s="262">
        <v>1048</v>
      </c>
      <c r="C72" s="68">
        <v>176</v>
      </c>
      <c r="D72" s="68">
        <v>102</v>
      </c>
      <c r="E72" s="68">
        <v>49</v>
      </c>
      <c r="F72" s="68">
        <v>51</v>
      </c>
      <c r="G72" s="68">
        <v>160</v>
      </c>
      <c r="H72" s="68">
        <v>10</v>
      </c>
      <c r="I72" s="68">
        <v>156</v>
      </c>
      <c r="J72" s="68">
        <v>206</v>
      </c>
      <c r="K72" s="68">
        <v>42</v>
      </c>
      <c r="L72" s="68">
        <v>67</v>
      </c>
      <c r="M72" s="68">
        <v>29</v>
      </c>
    </row>
    <row r="73" spans="1:13" s="41" customFormat="1" ht="15.75" customHeight="1">
      <c r="A73" s="41" t="s">
        <v>186</v>
      </c>
      <c r="B73" s="262">
        <v>44</v>
      </c>
      <c r="C73" s="68">
        <v>8</v>
      </c>
      <c r="D73" s="68">
        <v>10</v>
      </c>
      <c r="E73" s="68">
        <v>3</v>
      </c>
      <c r="F73" s="68">
        <v>4</v>
      </c>
      <c r="G73" s="68">
        <v>1</v>
      </c>
      <c r="H73" s="68">
        <v>0</v>
      </c>
      <c r="I73" s="68">
        <v>4</v>
      </c>
      <c r="J73" s="68">
        <v>6</v>
      </c>
      <c r="K73" s="68">
        <v>3</v>
      </c>
      <c r="L73" s="68">
        <v>4</v>
      </c>
      <c r="M73" s="68">
        <v>1</v>
      </c>
    </row>
    <row r="74" spans="1:13" s="41" customFormat="1" ht="15.75" customHeight="1">
      <c r="A74" s="41" t="s">
        <v>22</v>
      </c>
      <c r="B74" s="262">
        <v>31</v>
      </c>
      <c r="C74" s="68">
        <v>4</v>
      </c>
      <c r="D74" s="68">
        <v>6</v>
      </c>
      <c r="E74" s="68">
        <v>2</v>
      </c>
      <c r="F74" s="68">
        <v>3</v>
      </c>
      <c r="G74" s="68">
        <v>1</v>
      </c>
      <c r="H74" s="68">
        <v>0</v>
      </c>
      <c r="I74" s="68">
        <v>4</v>
      </c>
      <c r="J74" s="68">
        <v>4</v>
      </c>
      <c r="K74" s="68">
        <v>2</v>
      </c>
      <c r="L74" s="68">
        <v>4</v>
      </c>
      <c r="M74" s="68">
        <v>1</v>
      </c>
    </row>
    <row r="75" spans="1:13" s="41" customFormat="1" ht="15.75" customHeight="1">
      <c r="A75" s="41" t="s">
        <v>21</v>
      </c>
      <c r="B75" s="262">
        <v>13</v>
      </c>
      <c r="C75" s="68">
        <v>4</v>
      </c>
      <c r="D75" s="68">
        <v>4</v>
      </c>
      <c r="E75" s="68">
        <v>1</v>
      </c>
      <c r="F75" s="68">
        <v>1</v>
      </c>
      <c r="G75" s="68">
        <v>0</v>
      </c>
      <c r="H75" s="68">
        <v>0</v>
      </c>
      <c r="I75" s="68">
        <v>0</v>
      </c>
      <c r="J75" s="68">
        <v>2</v>
      </c>
      <c r="K75" s="68">
        <v>1</v>
      </c>
      <c r="L75" s="68">
        <v>0</v>
      </c>
      <c r="M75" s="68">
        <v>0</v>
      </c>
    </row>
    <row r="76" spans="1:13" s="41" customFormat="1" ht="15.75" customHeight="1">
      <c r="A76" s="41" t="s">
        <v>158</v>
      </c>
      <c r="B76" s="262">
        <v>695</v>
      </c>
      <c r="C76" s="68">
        <v>129</v>
      </c>
      <c r="D76" s="68">
        <v>168</v>
      </c>
      <c r="E76" s="68">
        <v>72</v>
      </c>
      <c r="F76" s="68">
        <v>7</v>
      </c>
      <c r="G76" s="68">
        <v>214</v>
      </c>
      <c r="H76" s="68">
        <v>0</v>
      </c>
      <c r="I76" s="68">
        <v>46</v>
      </c>
      <c r="J76" s="68">
        <v>31</v>
      </c>
      <c r="K76" s="68">
        <v>25</v>
      </c>
      <c r="L76" s="68">
        <v>1</v>
      </c>
      <c r="M76" s="68">
        <v>2</v>
      </c>
    </row>
    <row r="77" spans="1:13" s="41" customFormat="1" ht="15.75" customHeight="1">
      <c r="A77" s="41" t="s">
        <v>22</v>
      </c>
      <c r="B77" s="262">
        <v>315</v>
      </c>
      <c r="C77" s="68">
        <v>64</v>
      </c>
      <c r="D77" s="68">
        <v>82</v>
      </c>
      <c r="E77" s="68">
        <v>34</v>
      </c>
      <c r="F77" s="68">
        <v>4</v>
      </c>
      <c r="G77" s="68">
        <v>89</v>
      </c>
      <c r="H77" s="68">
        <v>0</v>
      </c>
      <c r="I77" s="68">
        <v>21</v>
      </c>
      <c r="J77" s="68">
        <v>9</v>
      </c>
      <c r="K77" s="68">
        <v>11</v>
      </c>
      <c r="L77" s="68">
        <v>0</v>
      </c>
      <c r="M77" s="68">
        <v>1</v>
      </c>
    </row>
    <row r="78" spans="1:13" s="41" customFormat="1" ht="15.75" customHeight="1">
      <c r="A78" s="41" t="s">
        <v>21</v>
      </c>
      <c r="B78" s="262">
        <v>380</v>
      </c>
      <c r="C78" s="68">
        <v>65</v>
      </c>
      <c r="D78" s="68">
        <v>86</v>
      </c>
      <c r="E78" s="68">
        <v>38</v>
      </c>
      <c r="F78" s="68">
        <v>3</v>
      </c>
      <c r="G78" s="68">
        <v>125</v>
      </c>
      <c r="H78" s="68">
        <v>0</v>
      </c>
      <c r="I78" s="68">
        <v>25</v>
      </c>
      <c r="J78" s="68">
        <v>22</v>
      </c>
      <c r="K78" s="68">
        <v>14</v>
      </c>
      <c r="L78" s="68">
        <v>1</v>
      </c>
      <c r="M78" s="68">
        <v>1</v>
      </c>
    </row>
    <row r="79" spans="1:13" s="41" customFormat="1" ht="15.75" customHeight="1">
      <c r="A79" s="41" t="s">
        <v>244</v>
      </c>
      <c r="B79" s="262">
        <v>19</v>
      </c>
      <c r="C79" s="68">
        <v>5</v>
      </c>
      <c r="D79" s="68">
        <v>3</v>
      </c>
      <c r="E79" s="68">
        <v>2</v>
      </c>
      <c r="F79" s="68">
        <v>1</v>
      </c>
      <c r="G79" s="68">
        <v>4</v>
      </c>
      <c r="H79" s="68">
        <v>0</v>
      </c>
      <c r="I79" s="68">
        <v>2</v>
      </c>
      <c r="J79" s="68">
        <v>0</v>
      </c>
      <c r="K79" s="68">
        <v>1</v>
      </c>
      <c r="L79" s="68">
        <v>0</v>
      </c>
      <c r="M79" s="68">
        <v>1</v>
      </c>
    </row>
    <row r="80" spans="1:13" s="41" customFormat="1" ht="15.75" customHeight="1">
      <c r="A80" s="41" t="s">
        <v>22</v>
      </c>
      <c r="B80" s="262">
        <v>15</v>
      </c>
      <c r="C80" s="68">
        <v>4</v>
      </c>
      <c r="D80" s="68">
        <v>3</v>
      </c>
      <c r="E80" s="68">
        <v>1</v>
      </c>
      <c r="F80" s="68">
        <v>0</v>
      </c>
      <c r="G80" s="68">
        <v>4</v>
      </c>
      <c r="H80" s="68">
        <v>0</v>
      </c>
      <c r="I80" s="68">
        <v>1</v>
      </c>
      <c r="J80" s="68">
        <v>0</v>
      </c>
      <c r="K80" s="68">
        <v>1</v>
      </c>
      <c r="L80" s="68">
        <v>0</v>
      </c>
      <c r="M80" s="68">
        <v>1</v>
      </c>
    </row>
    <row r="81" spans="1:13" s="41" customFormat="1" ht="15.75" customHeight="1">
      <c r="A81" s="41" t="s">
        <v>21</v>
      </c>
      <c r="B81" s="262">
        <v>4</v>
      </c>
      <c r="C81" s="68">
        <v>1</v>
      </c>
      <c r="D81" s="68">
        <v>0</v>
      </c>
      <c r="E81" s="68">
        <v>1</v>
      </c>
      <c r="F81" s="68">
        <v>1</v>
      </c>
      <c r="G81" s="68">
        <v>0</v>
      </c>
      <c r="H81" s="68">
        <v>0</v>
      </c>
      <c r="I81" s="68">
        <v>1</v>
      </c>
      <c r="J81" s="68">
        <v>0</v>
      </c>
      <c r="K81" s="68">
        <v>0</v>
      </c>
      <c r="L81" s="68">
        <v>0</v>
      </c>
      <c r="M81" s="68">
        <v>0</v>
      </c>
    </row>
    <row r="82" spans="1:13" s="41" customFormat="1" ht="15.75" customHeight="1">
      <c r="A82" s="41" t="s">
        <v>159</v>
      </c>
      <c r="B82" s="262">
        <v>16</v>
      </c>
      <c r="C82" s="68">
        <v>7</v>
      </c>
      <c r="D82" s="68">
        <v>2</v>
      </c>
      <c r="E82" s="68">
        <v>1</v>
      </c>
      <c r="F82" s="68">
        <v>2</v>
      </c>
      <c r="G82" s="68">
        <v>1</v>
      </c>
      <c r="H82" s="68">
        <v>0</v>
      </c>
      <c r="I82" s="68">
        <v>1</v>
      </c>
      <c r="J82" s="68">
        <v>2</v>
      </c>
      <c r="K82" s="68">
        <v>0</v>
      </c>
      <c r="L82" s="68">
        <v>0</v>
      </c>
      <c r="M82" s="68">
        <v>0</v>
      </c>
    </row>
    <row r="83" spans="1:13" s="41" customFormat="1" ht="15.75" customHeight="1">
      <c r="A83" s="41" t="s">
        <v>22</v>
      </c>
      <c r="B83" s="262">
        <v>9</v>
      </c>
      <c r="C83" s="68">
        <v>4</v>
      </c>
      <c r="D83" s="68">
        <v>1</v>
      </c>
      <c r="E83" s="68">
        <v>0</v>
      </c>
      <c r="F83" s="68">
        <v>1</v>
      </c>
      <c r="G83" s="68">
        <v>0</v>
      </c>
      <c r="H83" s="68">
        <v>0</v>
      </c>
      <c r="I83" s="68">
        <v>1</v>
      </c>
      <c r="J83" s="68">
        <v>2</v>
      </c>
      <c r="K83" s="68">
        <v>0</v>
      </c>
      <c r="L83" s="68">
        <v>0</v>
      </c>
      <c r="M83" s="68">
        <v>0</v>
      </c>
    </row>
    <row r="84" spans="1:13" s="41" customFormat="1" ht="15.75" customHeight="1">
      <c r="A84" s="41" t="s">
        <v>21</v>
      </c>
      <c r="B84" s="262">
        <v>7</v>
      </c>
      <c r="C84" s="68">
        <v>3</v>
      </c>
      <c r="D84" s="68">
        <v>1</v>
      </c>
      <c r="E84" s="68">
        <v>1</v>
      </c>
      <c r="F84" s="68">
        <v>1</v>
      </c>
      <c r="G84" s="68">
        <v>1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</row>
    <row r="85" spans="1:13" s="41" customFormat="1" ht="15.75" customHeight="1">
      <c r="A85" s="41" t="s">
        <v>247</v>
      </c>
      <c r="B85" s="262">
        <v>45</v>
      </c>
      <c r="C85" s="68">
        <v>13</v>
      </c>
      <c r="D85" s="68">
        <v>11</v>
      </c>
      <c r="E85" s="68">
        <v>5</v>
      </c>
      <c r="F85" s="68">
        <v>4</v>
      </c>
      <c r="G85" s="68">
        <v>6</v>
      </c>
      <c r="H85" s="68">
        <v>0</v>
      </c>
      <c r="I85" s="68">
        <v>0</v>
      </c>
      <c r="J85" s="68">
        <v>2</v>
      </c>
      <c r="K85" s="68">
        <v>1</v>
      </c>
      <c r="L85" s="68">
        <v>3</v>
      </c>
      <c r="M85" s="68">
        <v>0</v>
      </c>
    </row>
    <row r="86" spans="1:13" s="41" customFormat="1" ht="15.75" customHeight="1">
      <c r="A86" s="41" t="s">
        <v>22</v>
      </c>
      <c r="B86" s="262">
        <v>35</v>
      </c>
      <c r="C86" s="68">
        <v>9</v>
      </c>
      <c r="D86" s="68">
        <v>7</v>
      </c>
      <c r="E86" s="68">
        <v>5</v>
      </c>
      <c r="F86" s="68">
        <v>4</v>
      </c>
      <c r="G86" s="68">
        <v>4</v>
      </c>
      <c r="H86" s="68">
        <v>0</v>
      </c>
      <c r="I86" s="68">
        <v>0</v>
      </c>
      <c r="J86" s="68">
        <v>2</v>
      </c>
      <c r="K86" s="68">
        <v>1</v>
      </c>
      <c r="L86" s="68">
        <v>3</v>
      </c>
      <c r="M86" s="68">
        <v>0</v>
      </c>
    </row>
    <row r="87" spans="1:13" s="41" customFormat="1" ht="15.75" customHeight="1">
      <c r="A87" s="41" t="s">
        <v>21</v>
      </c>
      <c r="B87" s="262">
        <v>10</v>
      </c>
      <c r="C87" s="68">
        <v>4</v>
      </c>
      <c r="D87" s="68">
        <v>4</v>
      </c>
      <c r="E87" s="68">
        <v>0</v>
      </c>
      <c r="F87" s="68">
        <v>0</v>
      </c>
      <c r="G87" s="68">
        <v>2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</row>
    <row r="88" spans="1:13" s="41" customFormat="1" ht="15.75" customHeight="1">
      <c r="A88" s="41" t="s">
        <v>164</v>
      </c>
      <c r="B88" s="262">
        <v>51</v>
      </c>
      <c r="C88" s="68">
        <v>9</v>
      </c>
      <c r="D88" s="68">
        <v>3</v>
      </c>
      <c r="E88" s="68">
        <v>3</v>
      </c>
      <c r="F88" s="68">
        <v>0</v>
      </c>
      <c r="G88" s="68">
        <v>10</v>
      </c>
      <c r="H88" s="68">
        <v>0</v>
      </c>
      <c r="I88" s="68">
        <v>11</v>
      </c>
      <c r="J88" s="68">
        <v>3</v>
      </c>
      <c r="K88" s="68">
        <v>5</v>
      </c>
      <c r="L88" s="68">
        <v>5</v>
      </c>
      <c r="M88" s="68">
        <v>2</v>
      </c>
    </row>
    <row r="89" spans="1:13" s="41" customFormat="1" ht="15.75" customHeight="1">
      <c r="A89" s="41" t="s">
        <v>22</v>
      </c>
      <c r="B89" s="262">
        <v>33</v>
      </c>
      <c r="C89" s="68">
        <v>8</v>
      </c>
      <c r="D89" s="68">
        <v>2</v>
      </c>
      <c r="E89" s="68">
        <v>1</v>
      </c>
      <c r="F89" s="68">
        <v>0</v>
      </c>
      <c r="G89" s="68">
        <v>8</v>
      </c>
      <c r="H89" s="68">
        <v>0</v>
      </c>
      <c r="I89" s="68">
        <v>3</v>
      </c>
      <c r="J89" s="68">
        <v>3</v>
      </c>
      <c r="K89" s="68">
        <v>5</v>
      </c>
      <c r="L89" s="68">
        <v>2</v>
      </c>
      <c r="M89" s="68">
        <v>1</v>
      </c>
    </row>
    <row r="90" spans="1:13" s="41" customFormat="1" ht="15.75" customHeight="1">
      <c r="A90" s="41" t="s">
        <v>21</v>
      </c>
      <c r="B90" s="262">
        <v>18</v>
      </c>
      <c r="C90" s="68">
        <v>1</v>
      </c>
      <c r="D90" s="68">
        <v>1</v>
      </c>
      <c r="E90" s="68">
        <v>2</v>
      </c>
      <c r="F90" s="68">
        <v>0</v>
      </c>
      <c r="G90" s="68">
        <v>2</v>
      </c>
      <c r="H90" s="68">
        <v>0</v>
      </c>
      <c r="I90" s="68">
        <v>8</v>
      </c>
      <c r="J90" s="68">
        <v>0</v>
      </c>
      <c r="K90" s="68">
        <v>0</v>
      </c>
      <c r="L90" s="68">
        <v>3</v>
      </c>
      <c r="M90" s="68">
        <v>1</v>
      </c>
    </row>
    <row r="91" spans="1:13" s="41" customFormat="1" ht="15.75" customHeight="1">
      <c r="A91" s="41" t="s">
        <v>160</v>
      </c>
      <c r="B91" s="262">
        <v>378</v>
      </c>
      <c r="C91" s="68">
        <v>50</v>
      </c>
      <c r="D91" s="68">
        <v>11</v>
      </c>
      <c r="E91" s="68">
        <v>6</v>
      </c>
      <c r="F91" s="68">
        <v>4</v>
      </c>
      <c r="G91" s="68">
        <v>202</v>
      </c>
      <c r="H91" s="68">
        <v>1</v>
      </c>
      <c r="I91" s="68">
        <v>35</v>
      </c>
      <c r="J91" s="68">
        <v>41</v>
      </c>
      <c r="K91" s="68">
        <v>13</v>
      </c>
      <c r="L91" s="68">
        <v>15</v>
      </c>
      <c r="M91" s="68">
        <v>0</v>
      </c>
    </row>
    <row r="92" spans="1:13" s="41" customFormat="1" ht="15.75" customHeight="1">
      <c r="A92" s="41" t="s">
        <v>22</v>
      </c>
      <c r="B92" s="262">
        <v>177</v>
      </c>
      <c r="C92" s="68">
        <v>26</v>
      </c>
      <c r="D92" s="68">
        <v>8</v>
      </c>
      <c r="E92" s="68">
        <v>1</v>
      </c>
      <c r="F92" s="68">
        <v>2</v>
      </c>
      <c r="G92" s="68">
        <v>91</v>
      </c>
      <c r="H92" s="68">
        <v>1</v>
      </c>
      <c r="I92" s="68">
        <v>15</v>
      </c>
      <c r="J92" s="68">
        <v>20</v>
      </c>
      <c r="K92" s="68">
        <v>4</v>
      </c>
      <c r="L92" s="68">
        <v>9</v>
      </c>
      <c r="M92" s="68">
        <v>0</v>
      </c>
    </row>
    <row r="93" spans="1:13" s="41" customFormat="1" ht="15.75" customHeight="1">
      <c r="A93" s="41" t="s">
        <v>21</v>
      </c>
      <c r="B93" s="262">
        <v>201</v>
      </c>
      <c r="C93" s="68">
        <v>24</v>
      </c>
      <c r="D93" s="68">
        <v>3</v>
      </c>
      <c r="E93" s="68">
        <v>5</v>
      </c>
      <c r="F93" s="68">
        <v>2</v>
      </c>
      <c r="G93" s="68">
        <v>111</v>
      </c>
      <c r="H93" s="68">
        <v>0</v>
      </c>
      <c r="I93" s="68">
        <v>20</v>
      </c>
      <c r="J93" s="68">
        <v>21</v>
      </c>
      <c r="K93" s="68">
        <v>9</v>
      </c>
      <c r="L93" s="68">
        <v>6</v>
      </c>
      <c r="M93" s="68">
        <v>0</v>
      </c>
    </row>
    <row r="94" spans="1:13" s="41" customFormat="1" ht="15.75" customHeight="1">
      <c r="A94" s="41" t="s">
        <v>249</v>
      </c>
      <c r="B94" s="262">
        <v>25</v>
      </c>
      <c r="C94" s="68">
        <v>3</v>
      </c>
      <c r="D94" s="68">
        <v>4</v>
      </c>
      <c r="E94" s="68">
        <v>1</v>
      </c>
      <c r="F94" s="68">
        <v>3</v>
      </c>
      <c r="G94" s="68">
        <v>6</v>
      </c>
      <c r="H94" s="68">
        <v>0</v>
      </c>
      <c r="I94" s="68">
        <v>1</v>
      </c>
      <c r="J94" s="68">
        <v>7</v>
      </c>
      <c r="K94" s="68">
        <v>0</v>
      </c>
      <c r="L94" s="68">
        <v>0</v>
      </c>
      <c r="M94" s="68">
        <v>0</v>
      </c>
    </row>
    <row r="95" spans="1:13" s="41" customFormat="1" ht="15.75" customHeight="1">
      <c r="A95" s="41" t="s">
        <v>22</v>
      </c>
      <c r="B95" s="262">
        <v>17</v>
      </c>
      <c r="C95" s="68">
        <v>2</v>
      </c>
      <c r="D95" s="68">
        <v>4</v>
      </c>
      <c r="E95" s="68">
        <v>1</v>
      </c>
      <c r="F95" s="68">
        <v>2</v>
      </c>
      <c r="G95" s="68">
        <v>4</v>
      </c>
      <c r="H95" s="68">
        <v>0</v>
      </c>
      <c r="I95" s="68">
        <v>1</v>
      </c>
      <c r="J95" s="68">
        <v>3</v>
      </c>
      <c r="K95" s="68">
        <v>0</v>
      </c>
      <c r="L95" s="68">
        <v>0</v>
      </c>
      <c r="M95" s="68">
        <v>0</v>
      </c>
    </row>
    <row r="96" spans="1:13" s="41" customFormat="1" ht="15.75" customHeight="1">
      <c r="A96" s="41" t="s">
        <v>21</v>
      </c>
      <c r="B96" s="262">
        <v>8</v>
      </c>
      <c r="C96" s="68">
        <v>1</v>
      </c>
      <c r="D96" s="68">
        <v>0</v>
      </c>
      <c r="E96" s="68">
        <v>0</v>
      </c>
      <c r="F96" s="68">
        <v>1</v>
      </c>
      <c r="G96" s="68">
        <v>2</v>
      </c>
      <c r="H96" s="68">
        <v>0</v>
      </c>
      <c r="I96" s="68">
        <v>0</v>
      </c>
      <c r="J96" s="68">
        <v>4</v>
      </c>
      <c r="K96" s="68">
        <v>0</v>
      </c>
      <c r="L96" s="68">
        <v>0</v>
      </c>
      <c r="M96" s="68">
        <v>0</v>
      </c>
    </row>
    <row r="97" spans="1:13" s="41" customFormat="1" ht="15.75" customHeight="1">
      <c r="A97" s="41" t="s">
        <v>193</v>
      </c>
      <c r="B97" s="262">
        <v>68</v>
      </c>
      <c r="C97" s="68">
        <v>11</v>
      </c>
      <c r="D97" s="68">
        <v>6</v>
      </c>
      <c r="E97" s="68">
        <v>4</v>
      </c>
      <c r="F97" s="68">
        <v>1</v>
      </c>
      <c r="G97" s="68">
        <v>11</v>
      </c>
      <c r="H97" s="68">
        <v>0</v>
      </c>
      <c r="I97" s="68">
        <v>6</v>
      </c>
      <c r="J97" s="68">
        <v>25</v>
      </c>
      <c r="K97" s="68">
        <v>0</v>
      </c>
      <c r="L97" s="68">
        <v>0</v>
      </c>
      <c r="M97" s="68">
        <v>4</v>
      </c>
    </row>
    <row r="98" spans="1:13" s="41" customFormat="1" ht="15.75" customHeight="1">
      <c r="A98" s="41" t="s">
        <v>22</v>
      </c>
      <c r="B98" s="262">
        <v>46</v>
      </c>
      <c r="C98" s="68">
        <v>9</v>
      </c>
      <c r="D98" s="68">
        <v>3</v>
      </c>
      <c r="E98" s="68">
        <v>4</v>
      </c>
      <c r="F98" s="68">
        <v>1</v>
      </c>
      <c r="G98" s="68">
        <v>8</v>
      </c>
      <c r="H98" s="68">
        <v>0</v>
      </c>
      <c r="I98" s="68">
        <v>5</v>
      </c>
      <c r="J98" s="68">
        <v>13</v>
      </c>
      <c r="K98" s="68">
        <v>0</v>
      </c>
      <c r="L98" s="68">
        <v>0</v>
      </c>
      <c r="M98" s="68">
        <v>3</v>
      </c>
    </row>
    <row r="99" spans="1:13" s="41" customFormat="1" ht="15.75" customHeight="1">
      <c r="A99" s="41" t="s">
        <v>21</v>
      </c>
      <c r="B99" s="262">
        <v>22</v>
      </c>
      <c r="C99" s="68">
        <v>2</v>
      </c>
      <c r="D99" s="68">
        <v>3</v>
      </c>
      <c r="E99" s="68">
        <v>0</v>
      </c>
      <c r="F99" s="68">
        <v>0</v>
      </c>
      <c r="G99" s="68">
        <v>3</v>
      </c>
      <c r="H99" s="68">
        <v>0</v>
      </c>
      <c r="I99" s="68">
        <v>1</v>
      </c>
      <c r="J99" s="68">
        <v>12</v>
      </c>
      <c r="K99" s="68">
        <v>0</v>
      </c>
      <c r="L99" s="68">
        <v>0</v>
      </c>
      <c r="M99" s="68">
        <v>1</v>
      </c>
    </row>
    <row r="100" spans="1:13" s="41" customFormat="1" ht="15.75" customHeight="1">
      <c r="A100" s="33" t="s">
        <v>276</v>
      </c>
      <c r="B100" s="261">
        <v>1729</v>
      </c>
      <c r="C100" s="98">
        <v>387</v>
      </c>
      <c r="D100" s="98">
        <v>289</v>
      </c>
      <c r="E100" s="98">
        <v>115</v>
      </c>
      <c r="F100" s="98">
        <v>17</v>
      </c>
      <c r="G100" s="98">
        <v>179</v>
      </c>
      <c r="H100" s="98">
        <v>3</v>
      </c>
      <c r="I100" s="98">
        <v>379</v>
      </c>
      <c r="J100" s="98">
        <v>246</v>
      </c>
      <c r="K100" s="98">
        <v>68</v>
      </c>
      <c r="L100" s="98">
        <v>29</v>
      </c>
      <c r="M100" s="98">
        <v>17</v>
      </c>
    </row>
    <row r="101" spans="1:13" s="41" customFormat="1" ht="15.75" customHeight="1">
      <c r="A101" s="41" t="s">
        <v>309</v>
      </c>
      <c r="B101" s="262">
        <v>2</v>
      </c>
      <c r="C101" s="68">
        <v>0</v>
      </c>
      <c r="D101" s="68">
        <v>1</v>
      </c>
      <c r="E101" s="68">
        <v>1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</row>
    <row r="102" spans="1:13" s="41" customFormat="1" ht="15.75" customHeight="1">
      <c r="A102" s="41" t="s">
        <v>22</v>
      </c>
      <c r="B102" s="262">
        <v>1</v>
      </c>
      <c r="C102" s="68">
        <v>0</v>
      </c>
      <c r="D102" s="68">
        <v>0</v>
      </c>
      <c r="E102" s="68">
        <v>1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</row>
    <row r="103" spans="1:13" s="41" customFormat="1" ht="15.75" customHeight="1">
      <c r="A103" s="41" t="s">
        <v>21</v>
      </c>
      <c r="B103" s="262">
        <v>1</v>
      </c>
      <c r="C103" s="68">
        <v>0</v>
      </c>
      <c r="D103" s="68">
        <v>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</row>
    <row r="104" spans="1:13" s="41" customFormat="1" ht="15.75" customHeight="1">
      <c r="A104" s="41" t="s">
        <v>316</v>
      </c>
      <c r="B104" s="262">
        <v>1</v>
      </c>
      <c r="C104" s="68">
        <v>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1</v>
      </c>
      <c r="K104" s="68">
        <v>0</v>
      </c>
      <c r="L104" s="68">
        <v>0</v>
      </c>
      <c r="M104" s="68">
        <v>0</v>
      </c>
    </row>
    <row r="105" spans="1:13" s="41" customFormat="1" ht="15.75" customHeight="1">
      <c r="A105" s="41" t="s">
        <v>22</v>
      </c>
      <c r="B105" s="262">
        <v>1</v>
      </c>
      <c r="C105" s="68">
        <v>0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1</v>
      </c>
      <c r="K105" s="68">
        <v>0</v>
      </c>
      <c r="L105" s="68">
        <v>0</v>
      </c>
      <c r="M105" s="68">
        <v>0</v>
      </c>
    </row>
    <row r="106" spans="1:13" s="41" customFormat="1" ht="15.75" customHeight="1">
      <c r="A106" s="41" t="s">
        <v>236</v>
      </c>
      <c r="B106" s="262">
        <v>2</v>
      </c>
      <c r="C106" s="68">
        <v>0</v>
      </c>
      <c r="D106" s="68">
        <v>1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1</v>
      </c>
      <c r="K106" s="68">
        <v>0</v>
      </c>
      <c r="L106" s="68">
        <v>0</v>
      </c>
      <c r="M106" s="68">
        <v>0</v>
      </c>
    </row>
    <row r="107" spans="1:13" s="41" customFormat="1" ht="15.75" customHeight="1">
      <c r="A107" s="41" t="s">
        <v>22</v>
      </c>
      <c r="B107" s="262">
        <v>1</v>
      </c>
      <c r="C107" s="68">
        <v>0</v>
      </c>
      <c r="D107" s="68">
        <v>1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</row>
    <row r="108" spans="1:13" s="41" customFormat="1" ht="15.75" customHeight="1">
      <c r="A108" s="41" t="s">
        <v>21</v>
      </c>
      <c r="B108" s="262">
        <v>1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1</v>
      </c>
      <c r="K108" s="68">
        <v>0</v>
      </c>
      <c r="L108" s="68">
        <v>0</v>
      </c>
      <c r="M108" s="68">
        <v>0</v>
      </c>
    </row>
    <row r="109" spans="1:13" s="41" customFormat="1" ht="15.75" customHeight="1">
      <c r="A109" s="41" t="s">
        <v>161</v>
      </c>
      <c r="B109" s="262">
        <v>262</v>
      </c>
      <c r="C109" s="68">
        <v>68</v>
      </c>
      <c r="D109" s="68">
        <v>27</v>
      </c>
      <c r="E109" s="68">
        <v>15</v>
      </c>
      <c r="F109" s="68">
        <v>1</v>
      </c>
      <c r="G109" s="68">
        <v>31</v>
      </c>
      <c r="H109" s="68">
        <v>0</v>
      </c>
      <c r="I109" s="68">
        <v>73</v>
      </c>
      <c r="J109" s="68">
        <v>42</v>
      </c>
      <c r="K109" s="68">
        <v>4</v>
      </c>
      <c r="L109" s="68">
        <v>1</v>
      </c>
      <c r="M109" s="68">
        <v>0</v>
      </c>
    </row>
    <row r="110" spans="1:13" s="41" customFormat="1" ht="15.75" customHeight="1">
      <c r="A110" s="41" t="s">
        <v>22</v>
      </c>
      <c r="B110" s="262">
        <v>134</v>
      </c>
      <c r="C110" s="68">
        <v>32</v>
      </c>
      <c r="D110" s="68">
        <v>14</v>
      </c>
      <c r="E110" s="68">
        <v>8</v>
      </c>
      <c r="F110" s="68">
        <v>1</v>
      </c>
      <c r="G110" s="68">
        <v>17</v>
      </c>
      <c r="H110" s="68">
        <v>0</v>
      </c>
      <c r="I110" s="68">
        <v>38</v>
      </c>
      <c r="J110" s="68">
        <v>21</v>
      </c>
      <c r="K110" s="68">
        <v>2</v>
      </c>
      <c r="L110" s="68">
        <v>1</v>
      </c>
      <c r="M110" s="68">
        <v>0</v>
      </c>
    </row>
    <row r="111" spans="1:13" s="41" customFormat="1" ht="15.75" customHeight="1">
      <c r="A111" s="41" t="s">
        <v>21</v>
      </c>
      <c r="B111" s="262">
        <v>128</v>
      </c>
      <c r="C111" s="68">
        <v>36</v>
      </c>
      <c r="D111" s="68">
        <v>13</v>
      </c>
      <c r="E111" s="68">
        <v>7</v>
      </c>
      <c r="F111" s="68">
        <v>0</v>
      </c>
      <c r="G111" s="68">
        <v>14</v>
      </c>
      <c r="H111" s="68">
        <v>0</v>
      </c>
      <c r="I111" s="68">
        <v>35</v>
      </c>
      <c r="J111" s="68">
        <v>21</v>
      </c>
      <c r="K111" s="68">
        <v>2</v>
      </c>
      <c r="L111" s="68">
        <v>0</v>
      </c>
      <c r="M111" s="68">
        <v>0</v>
      </c>
    </row>
    <row r="112" spans="1:13" s="41" customFormat="1" ht="15.75" customHeight="1">
      <c r="A112" s="41" t="s">
        <v>240</v>
      </c>
      <c r="B112" s="262">
        <v>427</v>
      </c>
      <c r="C112" s="68">
        <v>119</v>
      </c>
      <c r="D112" s="68">
        <v>72</v>
      </c>
      <c r="E112" s="68">
        <v>33</v>
      </c>
      <c r="F112" s="68">
        <v>3</v>
      </c>
      <c r="G112" s="68">
        <v>38</v>
      </c>
      <c r="H112" s="68">
        <v>0</v>
      </c>
      <c r="I112" s="68">
        <v>98</v>
      </c>
      <c r="J112" s="68">
        <v>32</v>
      </c>
      <c r="K112" s="68">
        <v>19</v>
      </c>
      <c r="L112" s="68">
        <v>13</v>
      </c>
      <c r="M112" s="68">
        <v>0</v>
      </c>
    </row>
    <row r="113" spans="1:13" s="41" customFormat="1" ht="15.75" customHeight="1">
      <c r="A113" s="41" t="s">
        <v>22</v>
      </c>
      <c r="B113" s="262">
        <v>206</v>
      </c>
      <c r="C113" s="68">
        <v>57</v>
      </c>
      <c r="D113" s="68">
        <v>36</v>
      </c>
      <c r="E113" s="68">
        <v>14</v>
      </c>
      <c r="F113" s="68">
        <v>2</v>
      </c>
      <c r="G113" s="68">
        <v>15</v>
      </c>
      <c r="H113" s="68">
        <v>0</v>
      </c>
      <c r="I113" s="68">
        <v>52</v>
      </c>
      <c r="J113" s="68">
        <v>15</v>
      </c>
      <c r="K113" s="68">
        <v>10</v>
      </c>
      <c r="L113" s="68">
        <v>5</v>
      </c>
      <c r="M113" s="68">
        <v>0</v>
      </c>
    </row>
    <row r="114" spans="1:13" s="41" customFormat="1" ht="15.75" customHeight="1">
      <c r="A114" s="41" t="s">
        <v>21</v>
      </c>
      <c r="B114" s="262">
        <v>221</v>
      </c>
      <c r="C114" s="68">
        <v>62</v>
      </c>
      <c r="D114" s="68">
        <v>36</v>
      </c>
      <c r="E114" s="68">
        <v>19</v>
      </c>
      <c r="F114" s="68">
        <v>1</v>
      </c>
      <c r="G114" s="68">
        <v>23</v>
      </c>
      <c r="H114" s="68">
        <v>0</v>
      </c>
      <c r="I114" s="68">
        <v>46</v>
      </c>
      <c r="J114" s="68">
        <v>17</v>
      </c>
      <c r="K114" s="68">
        <v>9</v>
      </c>
      <c r="L114" s="68">
        <v>8</v>
      </c>
      <c r="M114" s="68">
        <v>0</v>
      </c>
    </row>
    <row r="115" spans="1:13" s="41" customFormat="1" ht="15.75" customHeight="1">
      <c r="A115" s="41" t="s">
        <v>163</v>
      </c>
      <c r="B115" s="262">
        <v>142</v>
      </c>
      <c r="C115" s="68">
        <v>29</v>
      </c>
      <c r="D115" s="68">
        <v>17</v>
      </c>
      <c r="E115" s="68">
        <v>19</v>
      </c>
      <c r="F115" s="68">
        <v>1</v>
      </c>
      <c r="G115" s="68">
        <v>17</v>
      </c>
      <c r="H115" s="68">
        <v>0</v>
      </c>
      <c r="I115" s="68">
        <v>17</v>
      </c>
      <c r="J115" s="68">
        <v>40</v>
      </c>
      <c r="K115" s="68">
        <v>2</v>
      </c>
      <c r="L115" s="68">
        <v>0</v>
      </c>
      <c r="M115" s="68">
        <v>0</v>
      </c>
    </row>
    <row r="116" spans="1:13" s="41" customFormat="1" ht="15.75" customHeight="1">
      <c r="A116" s="41" t="s">
        <v>22</v>
      </c>
      <c r="B116" s="262">
        <v>72</v>
      </c>
      <c r="C116" s="68">
        <v>14</v>
      </c>
      <c r="D116" s="68">
        <v>8</v>
      </c>
      <c r="E116" s="68">
        <v>8</v>
      </c>
      <c r="F116" s="68">
        <v>0</v>
      </c>
      <c r="G116" s="68">
        <v>10</v>
      </c>
      <c r="H116" s="68">
        <v>0</v>
      </c>
      <c r="I116" s="68">
        <v>8</v>
      </c>
      <c r="J116" s="68">
        <v>22</v>
      </c>
      <c r="K116" s="68">
        <v>2</v>
      </c>
      <c r="L116" s="68">
        <v>0</v>
      </c>
      <c r="M116" s="68">
        <v>0</v>
      </c>
    </row>
    <row r="117" spans="1:13" s="41" customFormat="1" ht="15.75" customHeight="1">
      <c r="A117" s="41" t="s">
        <v>21</v>
      </c>
      <c r="B117" s="262">
        <v>70</v>
      </c>
      <c r="C117" s="68">
        <v>15</v>
      </c>
      <c r="D117" s="68">
        <v>9</v>
      </c>
      <c r="E117" s="68">
        <v>11</v>
      </c>
      <c r="F117" s="68">
        <v>1</v>
      </c>
      <c r="G117" s="68">
        <v>7</v>
      </c>
      <c r="H117" s="68">
        <v>0</v>
      </c>
      <c r="I117" s="68">
        <v>9</v>
      </c>
      <c r="J117" s="68">
        <v>18</v>
      </c>
      <c r="K117" s="68">
        <v>0</v>
      </c>
      <c r="L117" s="68">
        <v>0</v>
      </c>
      <c r="M117" s="68">
        <v>0</v>
      </c>
    </row>
    <row r="118" spans="1:13" s="41" customFormat="1" ht="15.75" customHeight="1">
      <c r="A118" s="41" t="s">
        <v>243</v>
      </c>
      <c r="B118" s="262">
        <v>14</v>
      </c>
      <c r="C118" s="68">
        <v>1</v>
      </c>
      <c r="D118" s="68">
        <v>1</v>
      </c>
      <c r="E118" s="68">
        <v>3</v>
      </c>
      <c r="F118" s="68">
        <v>0</v>
      </c>
      <c r="G118" s="68">
        <v>5</v>
      </c>
      <c r="H118" s="68">
        <v>0</v>
      </c>
      <c r="I118" s="68">
        <v>1</v>
      </c>
      <c r="J118" s="68">
        <v>3</v>
      </c>
      <c r="K118" s="68">
        <v>0</v>
      </c>
      <c r="L118" s="68">
        <v>0</v>
      </c>
      <c r="M118" s="68">
        <v>0</v>
      </c>
    </row>
    <row r="119" spans="1:13" s="41" customFormat="1" ht="15.75" customHeight="1">
      <c r="A119" s="41" t="s">
        <v>22</v>
      </c>
      <c r="B119" s="262">
        <v>6</v>
      </c>
      <c r="C119" s="68">
        <v>1</v>
      </c>
      <c r="D119" s="68">
        <v>1</v>
      </c>
      <c r="E119" s="68">
        <v>1</v>
      </c>
      <c r="F119" s="68">
        <v>0</v>
      </c>
      <c r="G119" s="68">
        <v>2</v>
      </c>
      <c r="H119" s="68">
        <v>0</v>
      </c>
      <c r="I119" s="68">
        <v>0</v>
      </c>
      <c r="J119" s="68">
        <v>1</v>
      </c>
      <c r="K119" s="68">
        <v>0</v>
      </c>
      <c r="L119" s="68">
        <v>0</v>
      </c>
      <c r="M119" s="68">
        <v>0</v>
      </c>
    </row>
    <row r="120" spans="1:13" s="41" customFormat="1" ht="15.75" customHeight="1">
      <c r="A120" s="41" t="s">
        <v>21</v>
      </c>
      <c r="B120" s="262">
        <v>8</v>
      </c>
      <c r="C120" s="68">
        <v>0</v>
      </c>
      <c r="D120" s="68">
        <v>0</v>
      </c>
      <c r="E120" s="68">
        <v>2</v>
      </c>
      <c r="F120" s="68">
        <v>0</v>
      </c>
      <c r="G120" s="68">
        <v>3</v>
      </c>
      <c r="H120" s="68">
        <v>0</v>
      </c>
      <c r="I120" s="68">
        <v>1</v>
      </c>
      <c r="J120" s="68">
        <v>2</v>
      </c>
      <c r="K120" s="68">
        <v>0</v>
      </c>
      <c r="L120" s="68">
        <v>0</v>
      </c>
      <c r="M120" s="68">
        <v>0</v>
      </c>
    </row>
    <row r="121" spans="1:13" s="41" customFormat="1" ht="15.75" customHeight="1">
      <c r="A121" s="41" t="s">
        <v>187</v>
      </c>
      <c r="B121" s="262">
        <v>49</v>
      </c>
      <c r="C121" s="68">
        <v>13</v>
      </c>
      <c r="D121" s="68">
        <v>13</v>
      </c>
      <c r="E121" s="68">
        <v>3</v>
      </c>
      <c r="F121" s="68">
        <v>1</v>
      </c>
      <c r="G121" s="68">
        <v>11</v>
      </c>
      <c r="H121" s="68">
        <v>0</v>
      </c>
      <c r="I121" s="68">
        <v>2</v>
      </c>
      <c r="J121" s="68">
        <v>2</v>
      </c>
      <c r="K121" s="68">
        <v>0</v>
      </c>
      <c r="L121" s="68">
        <v>4</v>
      </c>
      <c r="M121" s="68">
        <v>0</v>
      </c>
    </row>
    <row r="122" spans="1:13" s="41" customFormat="1" ht="15.75" customHeight="1">
      <c r="A122" s="41" t="s">
        <v>22</v>
      </c>
      <c r="B122" s="262">
        <v>32</v>
      </c>
      <c r="C122" s="68">
        <v>7</v>
      </c>
      <c r="D122" s="68">
        <v>8</v>
      </c>
      <c r="E122" s="68">
        <v>3</v>
      </c>
      <c r="F122" s="68">
        <v>1</v>
      </c>
      <c r="G122" s="68">
        <v>6</v>
      </c>
      <c r="H122" s="68">
        <v>0</v>
      </c>
      <c r="I122" s="68">
        <v>2</v>
      </c>
      <c r="J122" s="68">
        <v>2</v>
      </c>
      <c r="K122" s="68">
        <v>0</v>
      </c>
      <c r="L122" s="68">
        <v>3</v>
      </c>
      <c r="M122" s="68">
        <v>0</v>
      </c>
    </row>
    <row r="123" spans="1:13" s="41" customFormat="1" ht="15.75" customHeight="1">
      <c r="A123" s="41" t="s">
        <v>21</v>
      </c>
      <c r="B123" s="262">
        <v>17</v>
      </c>
      <c r="C123" s="68">
        <v>6</v>
      </c>
      <c r="D123" s="68">
        <v>5</v>
      </c>
      <c r="E123" s="68">
        <v>0</v>
      </c>
      <c r="F123" s="68">
        <v>0</v>
      </c>
      <c r="G123" s="68">
        <v>5</v>
      </c>
      <c r="H123" s="68">
        <v>0</v>
      </c>
      <c r="I123" s="68">
        <v>0</v>
      </c>
      <c r="J123" s="68">
        <v>0</v>
      </c>
      <c r="K123" s="68">
        <v>0</v>
      </c>
      <c r="L123" s="68">
        <v>1</v>
      </c>
      <c r="M123" s="68">
        <v>0</v>
      </c>
    </row>
    <row r="124" spans="1:13" s="41" customFormat="1" ht="15.75" customHeight="1">
      <c r="A124" s="41" t="s">
        <v>245</v>
      </c>
      <c r="B124" s="262">
        <v>231</v>
      </c>
      <c r="C124" s="68">
        <v>39</v>
      </c>
      <c r="D124" s="68">
        <v>67</v>
      </c>
      <c r="E124" s="68">
        <v>33</v>
      </c>
      <c r="F124" s="68">
        <v>6</v>
      </c>
      <c r="G124" s="68">
        <v>36</v>
      </c>
      <c r="H124" s="68">
        <v>0</v>
      </c>
      <c r="I124" s="68">
        <v>24</v>
      </c>
      <c r="J124" s="68">
        <v>14</v>
      </c>
      <c r="K124" s="68">
        <v>6</v>
      </c>
      <c r="L124" s="68">
        <v>1</v>
      </c>
      <c r="M124" s="68">
        <v>5</v>
      </c>
    </row>
    <row r="125" spans="1:13" s="41" customFormat="1" ht="15.75" customHeight="1">
      <c r="A125" s="41" t="s">
        <v>22</v>
      </c>
      <c r="B125" s="262">
        <v>111</v>
      </c>
      <c r="C125" s="68">
        <v>22</v>
      </c>
      <c r="D125" s="68">
        <v>27</v>
      </c>
      <c r="E125" s="68">
        <v>14</v>
      </c>
      <c r="F125" s="68">
        <v>3</v>
      </c>
      <c r="G125" s="68">
        <v>22</v>
      </c>
      <c r="H125" s="68">
        <v>0</v>
      </c>
      <c r="I125" s="68">
        <v>12</v>
      </c>
      <c r="J125" s="68">
        <v>6</v>
      </c>
      <c r="K125" s="68">
        <v>2</v>
      </c>
      <c r="L125" s="68">
        <v>0</v>
      </c>
      <c r="M125" s="68">
        <v>3</v>
      </c>
    </row>
    <row r="126" spans="1:13" s="41" customFormat="1" ht="15.75" customHeight="1">
      <c r="A126" s="41" t="s">
        <v>21</v>
      </c>
      <c r="B126" s="262">
        <v>120</v>
      </c>
      <c r="C126" s="68">
        <v>17</v>
      </c>
      <c r="D126" s="68">
        <v>40</v>
      </c>
      <c r="E126" s="68">
        <v>19</v>
      </c>
      <c r="F126" s="68">
        <v>3</v>
      </c>
      <c r="G126" s="68">
        <v>14</v>
      </c>
      <c r="H126" s="68">
        <v>0</v>
      </c>
      <c r="I126" s="68">
        <v>12</v>
      </c>
      <c r="J126" s="68">
        <v>8</v>
      </c>
      <c r="K126" s="68">
        <v>4</v>
      </c>
      <c r="L126" s="68">
        <v>1</v>
      </c>
      <c r="M126" s="68">
        <v>2</v>
      </c>
    </row>
    <row r="127" spans="1:13" s="41" customFormat="1" ht="15.75" customHeight="1">
      <c r="A127" s="41" t="s">
        <v>165</v>
      </c>
      <c r="B127" s="262">
        <v>555</v>
      </c>
      <c r="C127" s="68">
        <v>112</v>
      </c>
      <c r="D127" s="68">
        <v>85</v>
      </c>
      <c r="E127" s="68">
        <v>4</v>
      </c>
      <c r="F127" s="68">
        <v>3</v>
      </c>
      <c r="G127" s="68">
        <v>38</v>
      </c>
      <c r="H127" s="68">
        <v>0</v>
      </c>
      <c r="I127" s="68">
        <v>156</v>
      </c>
      <c r="J127" s="68">
        <v>101</v>
      </c>
      <c r="K127" s="68">
        <v>36</v>
      </c>
      <c r="L127" s="68">
        <v>8</v>
      </c>
      <c r="M127" s="68">
        <v>12</v>
      </c>
    </row>
    <row r="128" spans="1:13" s="41" customFormat="1" ht="15.75" customHeight="1">
      <c r="A128" s="41" t="s">
        <v>22</v>
      </c>
      <c r="B128" s="262">
        <v>297</v>
      </c>
      <c r="C128" s="68">
        <v>61</v>
      </c>
      <c r="D128" s="68">
        <v>41</v>
      </c>
      <c r="E128" s="68">
        <v>1</v>
      </c>
      <c r="F128" s="68">
        <v>1</v>
      </c>
      <c r="G128" s="68">
        <v>23</v>
      </c>
      <c r="H128" s="68">
        <v>0</v>
      </c>
      <c r="I128" s="68">
        <v>83</v>
      </c>
      <c r="J128" s="68">
        <v>52</v>
      </c>
      <c r="K128" s="68">
        <v>23</v>
      </c>
      <c r="L128" s="68">
        <v>4</v>
      </c>
      <c r="M128" s="68">
        <v>8</v>
      </c>
    </row>
    <row r="129" spans="1:13" s="41" customFormat="1" ht="15.75" customHeight="1">
      <c r="A129" s="41" t="s">
        <v>21</v>
      </c>
      <c r="B129" s="262">
        <v>258</v>
      </c>
      <c r="C129" s="68">
        <v>51</v>
      </c>
      <c r="D129" s="68">
        <v>44</v>
      </c>
      <c r="E129" s="68">
        <v>3</v>
      </c>
      <c r="F129" s="68">
        <v>2</v>
      </c>
      <c r="G129" s="68">
        <v>15</v>
      </c>
      <c r="H129" s="68">
        <v>0</v>
      </c>
      <c r="I129" s="68">
        <v>73</v>
      </c>
      <c r="J129" s="68">
        <v>49</v>
      </c>
      <c r="K129" s="68">
        <v>13</v>
      </c>
      <c r="L129" s="68">
        <v>4</v>
      </c>
      <c r="M129" s="68">
        <v>4</v>
      </c>
    </row>
    <row r="130" spans="1:13" s="41" customFormat="1" ht="15.75" customHeight="1">
      <c r="A130" s="41" t="s">
        <v>192</v>
      </c>
      <c r="B130" s="262">
        <v>44</v>
      </c>
      <c r="C130" s="68">
        <v>6</v>
      </c>
      <c r="D130" s="68">
        <v>5</v>
      </c>
      <c r="E130" s="68">
        <v>4</v>
      </c>
      <c r="F130" s="68">
        <v>2</v>
      </c>
      <c r="G130" s="68">
        <v>3</v>
      </c>
      <c r="H130" s="68">
        <v>3</v>
      </c>
      <c r="I130" s="68">
        <v>8</v>
      </c>
      <c r="J130" s="68">
        <v>10</v>
      </c>
      <c r="K130" s="68">
        <v>1</v>
      </c>
      <c r="L130" s="68">
        <v>2</v>
      </c>
      <c r="M130" s="68">
        <v>0</v>
      </c>
    </row>
    <row r="131" spans="1:13" s="41" customFormat="1" ht="15.75" customHeight="1">
      <c r="A131" s="41" t="s">
        <v>22</v>
      </c>
      <c r="B131" s="262">
        <v>32</v>
      </c>
      <c r="C131" s="68">
        <v>4</v>
      </c>
      <c r="D131" s="68">
        <v>4</v>
      </c>
      <c r="E131" s="68">
        <v>3</v>
      </c>
      <c r="F131" s="68">
        <v>2</v>
      </c>
      <c r="G131" s="68">
        <v>3</v>
      </c>
      <c r="H131" s="68">
        <v>2</v>
      </c>
      <c r="I131" s="68">
        <v>7</v>
      </c>
      <c r="J131" s="68">
        <v>5</v>
      </c>
      <c r="K131" s="68">
        <v>0</v>
      </c>
      <c r="L131" s="68">
        <v>2</v>
      </c>
      <c r="M131" s="68">
        <v>0</v>
      </c>
    </row>
    <row r="132" spans="1:13" s="41" customFormat="1" ht="15.75" customHeight="1">
      <c r="A132" s="41" t="s">
        <v>21</v>
      </c>
      <c r="B132" s="262">
        <v>12</v>
      </c>
      <c r="C132" s="68">
        <v>2</v>
      </c>
      <c r="D132" s="68">
        <v>1</v>
      </c>
      <c r="E132" s="68">
        <v>1</v>
      </c>
      <c r="F132" s="68">
        <v>0</v>
      </c>
      <c r="G132" s="68">
        <v>0</v>
      </c>
      <c r="H132" s="68">
        <v>1</v>
      </c>
      <c r="I132" s="68">
        <v>1</v>
      </c>
      <c r="J132" s="68">
        <v>5</v>
      </c>
      <c r="K132" s="68">
        <v>1</v>
      </c>
      <c r="L132" s="68">
        <v>0</v>
      </c>
      <c r="M132" s="68">
        <v>0</v>
      </c>
    </row>
    <row r="133" spans="1:13" s="41" customFormat="1" ht="15.75" customHeight="1">
      <c r="A133" s="33" t="s">
        <v>277</v>
      </c>
      <c r="B133" s="261">
        <v>153</v>
      </c>
      <c r="C133" s="98">
        <v>48</v>
      </c>
      <c r="D133" s="98">
        <v>26</v>
      </c>
      <c r="E133" s="98">
        <v>4</v>
      </c>
      <c r="F133" s="98">
        <v>0</v>
      </c>
      <c r="G133" s="98">
        <v>18</v>
      </c>
      <c r="H133" s="98">
        <v>2</v>
      </c>
      <c r="I133" s="98">
        <v>21</v>
      </c>
      <c r="J133" s="98">
        <v>26</v>
      </c>
      <c r="K133" s="98">
        <v>4</v>
      </c>
      <c r="L133" s="98">
        <v>2</v>
      </c>
      <c r="M133" s="98">
        <v>2</v>
      </c>
    </row>
    <row r="134" spans="1:13" s="41" customFormat="1" ht="15.75" customHeight="1">
      <c r="A134" s="41" t="s">
        <v>168</v>
      </c>
      <c r="B134" s="262">
        <v>16</v>
      </c>
      <c r="C134" s="68">
        <v>11</v>
      </c>
      <c r="D134" s="68">
        <v>1</v>
      </c>
      <c r="E134" s="68">
        <v>0</v>
      </c>
      <c r="F134" s="68">
        <v>0</v>
      </c>
      <c r="G134" s="68">
        <v>0</v>
      </c>
      <c r="H134" s="68">
        <v>1</v>
      </c>
      <c r="I134" s="68">
        <v>2</v>
      </c>
      <c r="J134" s="68">
        <v>1</v>
      </c>
      <c r="K134" s="68">
        <v>0</v>
      </c>
      <c r="L134" s="68">
        <v>0</v>
      </c>
      <c r="M134" s="68">
        <v>0</v>
      </c>
    </row>
    <row r="135" spans="1:13" s="41" customFormat="1" ht="15.75" customHeight="1">
      <c r="A135" s="41" t="s">
        <v>22</v>
      </c>
      <c r="B135" s="262">
        <v>6</v>
      </c>
      <c r="C135" s="68">
        <v>5</v>
      </c>
      <c r="D135" s="68">
        <v>0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68">
        <v>1</v>
      </c>
      <c r="K135" s="68">
        <v>0</v>
      </c>
      <c r="L135" s="68">
        <v>0</v>
      </c>
      <c r="M135" s="68">
        <v>0</v>
      </c>
    </row>
    <row r="136" spans="1:13" s="41" customFormat="1" ht="15.75" customHeight="1">
      <c r="A136" s="41" t="s">
        <v>21</v>
      </c>
      <c r="B136" s="262">
        <v>10</v>
      </c>
      <c r="C136" s="68">
        <v>6</v>
      </c>
      <c r="D136" s="68">
        <v>1</v>
      </c>
      <c r="E136" s="68">
        <v>0</v>
      </c>
      <c r="F136" s="68">
        <v>0</v>
      </c>
      <c r="G136" s="68">
        <v>0</v>
      </c>
      <c r="H136" s="68">
        <v>1</v>
      </c>
      <c r="I136" s="68">
        <v>2</v>
      </c>
      <c r="J136" s="68">
        <v>0</v>
      </c>
      <c r="K136" s="68">
        <v>0</v>
      </c>
      <c r="L136" s="68">
        <v>0</v>
      </c>
      <c r="M136" s="68">
        <v>0</v>
      </c>
    </row>
    <row r="137" spans="1:13" s="41" customFormat="1" ht="15.75" customHeight="1">
      <c r="A137" s="41" t="s">
        <v>169</v>
      </c>
      <c r="B137" s="262">
        <v>5</v>
      </c>
      <c r="C137" s="68">
        <v>3</v>
      </c>
      <c r="D137" s="68">
        <v>2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</row>
    <row r="138" spans="1:13" s="41" customFormat="1" ht="15.75" customHeight="1">
      <c r="A138" s="41" t="s">
        <v>22</v>
      </c>
      <c r="B138" s="262">
        <v>3</v>
      </c>
      <c r="C138" s="68">
        <v>1</v>
      </c>
      <c r="D138" s="68">
        <v>2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</row>
    <row r="139" spans="1:13" s="41" customFormat="1" ht="15.75" customHeight="1">
      <c r="A139" s="41" t="s">
        <v>21</v>
      </c>
      <c r="B139" s="262">
        <v>2</v>
      </c>
      <c r="C139" s="68">
        <v>2</v>
      </c>
      <c r="D139" s="68">
        <v>0</v>
      </c>
      <c r="E139" s="68">
        <v>0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</row>
    <row r="140" spans="1:13" s="41" customFormat="1" ht="15.75" customHeight="1">
      <c r="A140" s="41" t="s">
        <v>199</v>
      </c>
      <c r="B140" s="262">
        <v>1</v>
      </c>
      <c r="C140" s="68">
        <v>0</v>
      </c>
      <c r="D140" s="68">
        <v>1</v>
      </c>
      <c r="E140" s="68">
        <v>0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</row>
    <row r="141" spans="1:13" s="41" customFormat="1" ht="15.75" customHeight="1">
      <c r="A141" s="41" t="s">
        <v>21</v>
      </c>
      <c r="B141" s="262">
        <v>1</v>
      </c>
      <c r="C141" s="68">
        <v>0</v>
      </c>
      <c r="D141" s="68">
        <v>1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</row>
    <row r="142" spans="1:13" s="41" customFormat="1" ht="15.75" customHeight="1">
      <c r="A142" s="41" t="s">
        <v>308</v>
      </c>
      <c r="B142" s="262">
        <v>1</v>
      </c>
      <c r="C142" s="68">
        <v>0</v>
      </c>
      <c r="D142" s="68">
        <v>1</v>
      </c>
      <c r="E142" s="68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</row>
    <row r="143" spans="1:13" s="41" customFormat="1" ht="15.75" customHeight="1">
      <c r="A143" s="41" t="s">
        <v>21</v>
      </c>
      <c r="B143" s="262">
        <v>1</v>
      </c>
      <c r="C143" s="68">
        <v>0</v>
      </c>
      <c r="D143" s="68">
        <v>1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</row>
    <row r="144" spans="1:13" s="41" customFormat="1" ht="15.75" customHeight="1">
      <c r="A144" s="41" t="s">
        <v>251</v>
      </c>
      <c r="B144" s="262">
        <v>30</v>
      </c>
      <c r="C144" s="68">
        <v>5</v>
      </c>
      <c r="D144" s="68">
        <v>5</v>
      </c>
      <c r="E144" s="68">
        <v>0</v>
      </c>
      <c r="F144" s="68">
        <v>0</v>
      </c>
      <c r="G144" s="68">
        <v>2</v>
      </c>
      <c r="H144" s="68">
        <v>0</v>
      </c>
      <c r="I144" s="68">
        <v>11</v>
      </c>
      <c r="J144" s="68">
        <v>4</v>
      </c>
      <c r="K144" s="68">
        <v>3</v>
      </c>
      <c r="L144" s="68">
        <v>0</v>
      </c>
      <c r="M144" s="68">
        <v>0</v>
      </c>
    </row>
    <row r="145" spans="1:13" s="41" customFormat="1" ht="15.75" customHeight="1">
      <c r="A145" s="41" t="s">
        <v>22</v>
      </c>
      <c r="B145" s="262">
        <v>18</v>
      </c>
      <c r="C145" s="68">
        <v>2</v>
      </c>
      <c r="D145" s="68">
        <v>3</v>
      </c>
      <c r="E145" s="68">
        <v>0</v>
      </c>
      <c r="F145" s="68">
        <v>0</v>
      </c>
      <c r="G145" s="68">
        <v>0</v>
      </c>
      <c r="H145" s="68">
        <v>0</v>
      </c>
      <c r="I145" s="68">
        <v>9</v>
      </c>
      <c r="J145" s="68">
        <v>2</v>
      </c>
      <c r="K145" s="68">
        <v>2</v>
      </c>
      <c r="L145" s="68">
        <v>0</v>
      </c>
      <c r="M145" s="68">
        <v>0</v>
      </c>
    </row>
    <row r="146" spans="1:13" s="41" customFormat="1" ht="15.75" customHeight="1">
      <c r="A146" s="41" t="s">
        <v>21</v>
      </c>
      <c r="B146" s="262">
        <v>12</v>
      </c>
      <c r="C146" s="68">
        <v>3</v>
      </c>
      <c r="D146" s="68">
        <v>2</v>
      </c>
      <c r="E146" s="68">
        <v>0</v>
      </c>
      <c r="F146" s="68">
        <v>0</v>
      </c>
      <c r="G146" s="68">
        <v>2</v>
      </c>
      <c r="H146" s="68">
        <v>0</v>
      </c>
      <c r="I146" s="68">
        <v>2</v>
      </c>
      <c r="J146" s="68">
        <v>2</v>
      </c>
      <c r="K146" s="68">
        <v>1</v>
      </c>
      <c r="L146" s="68">
        <v>0</v>
      </c>
      <c r="M146" s="68">
        <v>0</v>
      </c>
    </row>
    <row r="147" spans="1:13" s="41" customFormat="1" ht="15.75" customHeight="1">
      <c r="A147" s="41" t="s">
        <v>334</v>
      </c>
      <c r="B147" s="262">
        <v>1</v>
      </c>
      <c r="C147" s="68">
        <v>0</v>
      </c>
      <c r="D147" s="68">
        <v>1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</row>
    <row r="148" spans="1:13" s="41" customFormat="1" ht="15.75" customHeight="1">
      <c r="A148" s="41" t="s">
        <v>22</v>
      </c>
      <c r="B148" s="262">
        <v>1</v>
      </c>
      <c r="C148" s="68">
        <v>0</v>
      </c>
      <c r="D148" s="68">
        <v>1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</row>
    <row r="149" spans="1:13" s="41" customFormat="1" ht="15.75" customHeight="1">
      <c r="A149" s="41" t="s">
        <v>317</v>
      </c>
      <c r="B149" s="262">
        <v>4</v>
      </c>
      <c r="C149" s="68">
        <v>2</v>
      </c>
      <c r="D149" s="68">
        <v>0</v>
      </c>
      <c r="E149" s="68">
        <v>0</v>
      </c>
      <c r="F149" s="68">
        <v>0</v>
      </c>
      <c r="G149" s="68">
        <v>1</v>
      </c>
      <c r="H149" s="68">
        <v>0</v>
      </c>
      <c r="I149" s="68">
        <v>0</v>
      </c>
      <c r="J149" s="68">
        <v>1</v>
      </c>
      <c r="K149" s="68">
        <v>0</v>
      </c>
      <c r="L149" s="68">
        <v>0</v>
      </c>
      <c r="M149" s="68">
        <v>0</v>
      </c>
    </row>
    <row r="150" spans="1:13" s="41" customFormat="1" ht="15.75" customHeight="1">
      <c r="A150" s="41" t="s">
        <v>22</v>
      </c>
      <c r="B150" s="262">
        <v>3</v>
      </c>
      <c r="C150" s="68">
        <v>1</v>
      </c>
      <c r="D150" s="68">
        <v>0</v>
      </c>
      <c r="E150" s="68">
        <v>0</v>
      </c>
      <c r="F150" s="68">
        <v>0</v>
      </c>
      <c r="G150" s="68">
        <v>1</v>
      </c>
      <c r="H150" s="68">
        <v>0</v>
      </c>
      <c r="I150" s="68">
        <v>0</v>
      </c>
      <c r="J150" s="68">
        <v>1</v>
      </c>
      <c r="K150" s="68">
        <v>0</v>
      </c>
      <c r="L150" s="68">
        <v>0</v>
      </c>
      <c r="M150" s="68">
        <v>0</v>
      </c>
    </row>
    <row r="151" spans="1:13" s="41" customFormat="1" ht="15.75" customHeight="1">
      <c r="A151" s="41" t="s">
        <v>21</v>
      </c>
      <c r="B151" s="262">
        <v>1</v>
      </c>
      <c r="C151" s="68">
        <v>1</v>
      </c>
      <c r="D151" s="68">
        <v>0</v>
      </c>
      <c r="E151" s="68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</row>
    <row r="152" spans="1:13" s="41" customFormat="1" ht="15.75" customHeight="1">
      <c r="A152" s="41" t="s">
        <v>238</v>
      </c>
      <c r="B152" s="262">
        <v>7</v>
      </c>
      <c r="C152" s="68">
        <v>0</v>
      </c>
      <c r="D152" s="68">
        <v>1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6</v>
      </c>
      <c r="K152" s="68">
        <v>0</v>
      </c>
      <c r="L152" s="68">
        <v>0</v>
      </c>
      <c r="M152" s="68">
        <v>0</v>
      </c>
    </row>
    <row r="153" spans="1:13" s="41" customFormat="1" ht="15.75" customHeight="1">
      <c r="A153" s="41" t="s">
        <v>22</v>
      </c>
      <c r="B153" s="262">
        <v>4</v>
      </c>
      <c r="C153" s="68">
        <v>0</v>
      </c>
      <c r="D153" s="68">
        <v>0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4</v>
      </c>
      <c r="K153" s="68">
        <v>0</v>
      </c>
      <c r="L153" s="68">
        <v>0</v>
      </c>
      <c r="M153" s="68">
        <v>0</v>
      </c>
    </row>
    <row r="154" spans="1:13" s="41" customFormat="1" ht="15.75" customHeight="1">
      <c r="A154" s="41" t="s">
        <v>21</v>
      </c>
      <c r="B154" s="262">
        <v>3</v>
      </c>
      <c r="C154" s="68">
        <v>0</v>
      </c>
      <c r="D154" s="68">
        <v>1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2</v>
      </c>
      <c r="K154" s="68">
        <v>0</v>
      </c>
      <c r="L154" s="68">
        <v>0</v>
      </c>
      <c r="M154" s="68">
        <v>0</v>
      </c>
    </row>
    <row r="155" spans="1:13" s="41" customFormat="1" ht="15.75" customHeight="1">
      <c r="A155" s="41" t="s">
        <v>300</v>
      </c>
      <c r="B155" s="262">
        <v>3</v>
      </c>
      <c r="C155" s="68">
        <v>0</v>
      </c>
      <c r="D155" s="68">
        <v>0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1</v>
      </c>
      <c r="K155" s="68">
        <v>1</v>
      </c>
      <c r="L155" s="68">
        <v>1</v>
      </c>
      <c r="M155" s="68">
        <v>0</v>
      </c>
    </row>
    <row r="156" spans="1:13" s="41" customFormat="1" ht="15.75" customHeight="1">
      <c r="A156" s="41" t="s">
        <v>22</v>
      </c>
      <c r="B156" s="262">
        <v>1</v>
      </c>
      <c r="C156" s="68">
        <v>0</v>
      </c>
      <c r="D156" s="68"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1</v>
      </c>
      <c r="K156" s="68">
        <v>0</v>
      </c>
      <c r="L156" s="68">
        <v>0</v>
      </c>
      <c r="M156" s="68">
        <v>0</v>
      </c>
    </row>
    <row r="157" spans="1:13" s="41" customFormat="1" ht="15.75" customHeight="1">
      <c r="A157" s="41" t="s">
        <v>21</v>
      </c>
      <c r="B157" s="262">
        <v>2</v>
      </c>
      <c r="C157" s="68">
        <v>0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1</v>
      </c>
      <c r="L157" s="68">
        <v>1</v>
      </c>
      <c r="M157" s="68">
        <v>0</v>
      </c>
    </row>
    <row r="158" spans="1:13" s="41" customFormat="1" ht="15.75" customHeight="1">
      <c r="A158" s="41" t="s">
        <v>182</v>
      </c>
      <c r="B158" s="262">
        <v>10</v>
      </c>
      <c r="C158" s="68">
        <v>0</v>
      </c>
      <c r="D158" s="68">
        <v>4</v>
      </c>
      <c r="E158" s="68">
        <v>1</v>
      </c>
      <c r="F158" s="68">
        <v>0</v>
      </c>
      <c r="G158" s="68">
        <v>2</v>
      </c>
      <c r="H158" s="68">
        <v>0</v>
      </c>
      <c r="I158" s="68">
        <v>0</v>
      </c>
      <c r="J158" s="68">
        <v>2</v>
      </c>
      <c r="K158" s="68">
        <v>0</v>
      </c>
      <c r="L158" s="68">
        <v>1</v>
      </c>
      <c r="M158" s="68">
        <v>0</v>
      </c>
    </row>
    <row r="159" spans="1:13" s="41" customFormat="1" ht="15.75" customHeight="1">
      <c r="A159" s="41" t="s">
        <v>22</v>
      </c>
      <c r="B159" s="262">
        <v>5</v>
      </c>
      <c r="C159" s="68">
        <v>0</v>
      </c>
      <c r="D159" s="68">
        <v>2</v>
      </c>
      <c r="E159" s="68">
        <v>0</v>
      </c>
      <c r="F159" s="68">
        <v>0</v>
      </c>
      <c r="G159" s="68">
        <v>1</v>
      </c>
      <c r="H159" s="68">
        <v>0</v>
      </c>
      <c r="I159" s="68">
        <v>0</v>
      </c>
      <c r="J159" s="68">
        <v>2</v>
      </c>
      <c r="K159" s="68">
        <v>0</v>
      </c>
      <c r="L159" s="68">
        <v>0</v>
      </c>
      <c r="M159" s="68">
        <v>0</v>
      </c>
    </row>
    <row r="160" spans="1:13" s="41" customFormat="1" ht="15.75" customHeight="1">
      <c r="A160" s="41" t="s">
        <v>21</v>
      </c>
      <c r="B160" s="262">
        <v>5</v>
      </c>
      <c r="C160" s="68">
        <v>0</v>
      </c>
      <c r="D160" s="68">
        <v>2</v>
      </c>
      <c r="E160" s="68">
        <v>1</v>
      </c>
      <c r="F160" s="68">
        <v>0</v>
      </c>
      <c r="G160" s="68">
        <v>1</v>
      </c>
      <c r="H160" s="68">
        <v>0</v>
      </c>
      <c r="I160" s="68">
        <v>0</v>
      </c>
      <c r="J160" s="68">
        <v>0</v>
      </c>
      <c r="K160" s="68">
        <v>0</v>
      </c>
      <c r="L160" s="68">
        <v>1</v>
      </c>
      <c r="M160" s="68">
        <v>0</v>
      </c>
    </row>
    <row r="161" spans="1:13" s="41" customFormat="1" ht="15.75" customHeight="1">
      <c r="A161" s="41" t="s">
        <v>318</v>
      </c>
      <c r="B161" s="262">
        <v>2</v>
      </c>
      <c r="C161" s="68">
        <v>0</v>
      </c>
      <c r="D161" s="68">
        <v>0</v>
      </c>
      <c r="E161" s="68">
        <v>1</v>
      </c>
      <c r="F161" s="68">
        <v>0</v>
      </c>
      <c r="G161" s="68">
        <v>0</v>
      </c>
      <c r="H161" s="68">
        <v>0</v>
      </c>
      <c r="I161" s="68">
        <v>1</v>
      </c>
      <c r="J161" s="68">
        <v>0</v>
      </c>
      <c r="K161" s="68">
        <v>0</v>
      </c>
      <c r="L161" s="68">
        <v>0</v>
      </c>
      <c r="M161" s="68">
        <v>0</v>
      </c>
    </row>
    <row r="162" spans="1:13" s="41" customFormat="1" ht="15.75" customHeight="1">
      <c r="A162" s="41" t="s">
        <v>22</v>
      </c>
      <c r="B162" s="262">
        <v>1</v>
      </c>
      <c r="C162" s="68">
        <v>0</v>
      </c>
      <c r="D162" s="68">
        <v>0</v>
      </c>
      <c r="E162" s="68">
        <v>0</v>
      </c>
      <c r="F162" s="68">
        <v>0</v>
      </c>
      <c r="G162" s="68">
        <v>0</v>
      </c>
      <c r="H162" s="68">
        <v>0</v>
      </c>
      <c r="I162" s="68">
        <v>1</v>
      </c>
      <c r="J162" s="68">
        <v>0</v>
      </c>
      <c r="K162" s="68">
        <v>0</v>
      </c>
      <c r="L162" s="68">
        <v>0</v>
      </c>
      <c r="M162" s="68">
        <v>0</v>
      </c>
    </row>
    <row r="163" spans="1:13" s="41" customFormat="1" ht="15.75" customHeight="1">
      <c r="A163" s="41" t="s">
        <v>21</v>
      </c>
      <c r="B163" s="262">
        <v>1</v>
      </c>
      <c r="C163" s="68">
        <v>0</v>
      </c>
      <c r="D163" s="68">
        <v>0</v>
      </c>
      <c r="E163" s="68">
        <v>1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</row>
    <row r="164" spans="1:13" s="41" customFormat="1" ht="15.75" customHeight="1">
      <c r="A164" s="41" t="s">
        <v>26</v>
      </c>
      <c r="B164" s="262">
        <v>5</v>
      </c>
      <c r="C164" s="68">
        <v>0</v>
      </c>
      <c r="D164" s="68">
        <v>3</v>
      </c>
      <c r="E164" s="68">
        <v>0</v>
      </c>
      <c r="F164" s="68">
        <v>0</v>
      </c>
      <c r="G164" s="68">
        <v>0</v>
      </c>
      <c r="H164" s="68">
        <v>0</v>
      </c>
      <c r="I164" s="68">
        <v>2</v>
      </c>
      <c r="J164" s="68">
        <v>0</v>
      </c>
      <c r="K164" s="68">
        <v>0</v>
      </c>
      <c r="L164" s="68">
        <v>0</v>
      </c>
      <c r="M164" s="68">
        <v>0</v>
      </c>
    </row>
    <row r="165" spans="1:13" s="41" customFormat="1" ht="15.75" customHeight="1">
      <c r="A165" s="41" t="s">
        <v>22</v>
      </c>
      <c r="B165" s="262">
        <v>1</v>
      </c>
      <c r="C165" s="68">
        <v>0</v>
      </c>
      <c r="D165" s="68">
        <v>1</v>
      </c>
      <c r="E165" s="68">
        <v>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</row>
    <row r="166" spans="1:13" s="41" customFormat="1" ht="15.75" customHeight="1">
      <c r="A166" s="41" t="s">
        <v>21</v>
      </c>
      <c r="B166" s="262">
        <v>4</v>
      </c>
      <c r="C166" s="68">
        <v>0</v>
      </c>
      <c r="D166" s="68">
        <v>2</v>
      </c>
      <c r="E166" s="68">
        <v>0</v>
      </c>
      <c r="F166" s="68">
        <v>0</v>
      </c>
      <c r="G166" s="68">
        <v>0</v>
      </c>
      <c r="H166" s="68">
        <v>0</v>
      </c>
      <c r="I166" s="68">
        <v>2</v>
      </c>
      <c r="J166" s="68">
        <v>0</v>
      </c>
      <c r="K166" s="68">
        <v>0</v>
      </c>
      <c r="L166" s="68">
        <v>0</v>
      </c>
      <c r="M166" s="68">
        <v>0</v>
      </c>
    </row>
    <row r="167" spans="1:13" s="41" customFormat="1" ht="15.75" customHeight="1">
      <c r="A167" s="41" t="s">
        <v>62</v>
      </c>
      <c r="B167" s="262">
        <v>4</v>
      </c>
      <c r="C167" s="68">
        <v>0</v>
      </c>
      <c r="D167" s="68">
        <v>0</v>
      </c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68">
        <v>4</v>
      </c>
      <c r="K167" s="68">
        <v>0</v>
      </c>
      <c r="L167" s="68">
        <v>0</v>
      </c>
      <c r="M167" s="68">
        <v>0</v>
      </c>
    </row>
    <row r="168" spans="1:13" s="41" customFormat="1" ht="15.75" customHeight="1">
      <c r="A168" s="41" t="s">
        <v>22</v>
      </c>
      <c r="B168" s="262">
        <v>2</v>
      </c>
      <c r="C168" s="68">
        <v>0</v>
      </c>
      <c r="D168" s="68">
        <v>0</v>
      </c>
      <c r="E168" s="68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2</v>
      </c>
      <c r="K168" s="68">
        <v>0</v>
      </c>
      <c r="L168" s="68">
        <v>0</v>
      </c>
      <c r="M168" s="68">
        <v>0</v>
      </c>
    </row>
    <row r="169" spans="1:13" s="41" customFormat="1" ht="15.75" customHeight="1">
      <c r="A169" s="41" t="s">
        <v>21</v>
      </c>
      <c r="B169" s="262">
        <v>2</v>
      </c>
      <c r="C169" s="68">
        <v>0</v>
      </c>
      <c r="D169" s="68">
        <v>0</v>
      </c>
      <c r="E169" s="68">
        <v>0</v>
      </c>
      <c r="F169" s="68">
        <v>0</v>
      </c>
      <c r="G169" s="68">
        <v>0</v>
      </c>
      <c r="H169" s="68">
        <v>0</v>
      </c>
      <c r="I169" s="68">
        <v>0</v>
      </c>
      <c r="J169" s="68">
        <v>2</v>
      </c>
      <c r="K169" s="68">
        <v>0</v>
      </c>
      <c r="L169" s="68">
        <v>0</v>
      </c>
      <c r="M169" s="68">
        <v>0</v>
      </c>
    </row>
    <row r="170" spans="1:13" s="41" customFormat="1" ht="15.75" customHeight="1">
      <c r="A170" s="41" t="s">
        <v>246</v>
      </c>
      <c r="B170" s="262">
        <v>4</v>
      </c>
      <c r="C170" s="68">
        <v>0</v>
      </c>
      <c r="D170" s="68">
        <v>0</v>
      </c>
      <c r="E170" s="68">
        <v>0</v>
      </c>
      <c r="F170" s="68">
        <v>0</v>
      </c>
      <c r="G170" s="68">
        <v>3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1</v>
      </c>
    </row>
    <row r="171" spans="1:13" s="41" customFormat="1" ht="15.75" customHeight="1">
      <c r="A171" s="41" t="s">
        <v>22</v>
      </c>
      <c r="B171" s="262">
        <v>4</v>
      </c>
      <c r="C171" s="68">
        <v>0</v>
      </c>
      <c r="D171" s="68">
        <v>0</v>
      </c>
      <c r="E171" s="68">
        <v>0</v>
      </c>
      <c r="F171" s="68">
        <v>0</v>
      </c>
      <c r="G171" s="68">
        <v>3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1</v>
      </c>
    </row>
    <row r="172" spans="1:13" s="41" customFormat="1" ht="15.75" customHeight="1">
      <c r="A172" s="41" t="s">
        <v>1</v>
      </c>
      <c r="B172" s="262">
        <v>42</v>
      </c>
      <c r="C172" s="68">
        <v>26</v>
      </c>
      <c r="D172" s="68">
        <v>2</v>
      </c>
      <c r="E172" s="68">
        <v>0</v>
      </c>
      <c r="F172" s="68">
        <v>0</v>
      </c>
      <c r="G172" s="68">
        <v>5</v>
      </c>
      <c r="H172" s="68">
        <v>0</v>
      </c>
      <c r="I172" s="68">
        <v>3</v>
      </c>
      <c r="J172" s="68">
        <v>6</v>
      </c>
      <c r="K172" s="68">
        <v>0</v>
      </c>
      <c r="L172" s="68">
        <v>0</v>
      </c>
      <c r="M172" s="68">
        <v>0</v>
      </c>
    </row>
    <row r="173" spans="1:13" s="41" customFormat="1" ht="15.75" customHeight="1">
      <c r="A173" s="41" t="s">
        <v>22</v>
      </c>
      <c r="B173" s="262">
        <v>18</v>
      </c>
      <c r="C173" s="68">
        <v>10</v>
      </c>
      <c r="D173" s="68">
        <v>2</v>
      </c>
      <c r="E173" s="68">
        <v>0</v>
      </c>
      <c r="F173" s="68">
        <v>0</v>
      </c>
      <c r="G173" s="68">
        <v>2</v>
      </c>
      <c r="H173" s="68">
        <v>0</v>
      </c>
      <c r="I173" s="68">
        <v>1</v>
      </c>
      <c r="J173" s="68">
        <v>3</v>
      </c>
      <c r="K173" s="68">
        <v>0</v>
      </c>
      <c r="L173" s="68">
        <v>0</v>
      </c>
      <c r="M173" s="68">
        <v>0</v>
      </c>
    </row>
    <row r="174" spans="1:13" s="41" customFormat="1" ht="15.75" customHeight="1">
      <c r="A174" s="41" t="s">
        <v>21</v>
      </c>
      <c r="B174" s="262">
        <v>24</v>
      </c>
      <c r="C174" s="68">
        <v>16</v>
      </c>
      <c r="D174" s="68">
        <v>0</v>
      </c>
      <c r="E174" s="68">
        <v>0</v>
      </c>
      <c r="F174" s="68">
        <v>0</v>
      </c>
      <c r="G174" s="68">
        <v>3</v>
      </c>
      <c r="H174" s="68">
        <v>0</v>
      </c>
      <c r="I174" s="68">
        <v>2</v>
      </c>
      <c r="J174" s="68">
        <v>3</v>
      </c>
      <c r="K174" s="68">
        <v>0</v>
      </c>
      <c r="L174" s="68">
        <v>0</v>
      </c>
      <c r="M174" s="68">
        <v>0</v>
      </c>
    </row>
    <row r="175" spans="1:13" s="41" customFormat="1" ht="15.75" customHeight="1">
      <c r="A175" s="41" t="s">
        <v>189</v>
      </c>
      <c r="B175" s="262">
        <v>5</v>
      </c>
      <c r="C175" s="68">
        <v>1</v>
      </c>
      <c r="D175" s="68">
        <v>0</v>
      </c>
      <c r="E175" s="68">
        <v>0</v>
      </c>
      <c r="F175" s="68">
        <v>0</v>
      </c>
      <c r="G175" s="68">
        <v>2</v>
      </c>
      <c r="H175" s="68">
        <v>1</v>
      </c>
      <c r="I175" s="68">
        <v>0</v>
      </c>
      <c r="J175" s="68">
        <v>0</v>
      </c>
      <c r="K175" s="68">
        <v>0</v>
      </c>
      <c r="L175" s="68">
        <v>0</v>
      </c>
      <c r="M175" s="68">
        <v>1</v>
      </c>
    </row>
    <row r="176" spans="1:13" s="41" customFormat="1" ht="15.75" customHeight="1">
      <c r="A176" s="41" t="s">
        <v>22</v>
      </c>
      <c r="B176" s="262">
        <v>4</v>
      </c>
      <c r="C176" s="68">
        <v>1</v>
      </c>
      <c r="D176" s="68">
        <v>0</v>
      </c>
      <c r="E176" s="68">
        <v>0</v>
      </c>
      <c r="F176" s="68">
        <v>0</v>
      </c>
      <c r="G176" s="68">
        <v>1</v>
      </c>
      <c r="H176" s="68">
        <v>1</v>
      </c>
      <c r="I176" s="68">
        <v>0</v>
      </c>
      <c r="J176" s="68">
        <v>0</v>
      </c>
      <c r="K176" s="68">
        <v>0</v>
      </c>
      <c r="L176" s="68">
        <v>0</v>
      </c>
      <c r="M176" s="68">
        <v>1</v>
      </c>
    </row>
    <row r="177" spans="1:13" s="41" customFormat="1" ht="15.75" customHeight="1">
      <c r="A177" s="41" t="s">
        <v>21</v>
      </c>
      <c r="B177" s="262">
        <v>1</v>
      </c>
      <c r="C177" s="68">
        <v>0</v>
      </c>
      <c r="D177" s="68">
        <v>0</v>
      </c>
      <c r="E177" s="68">
        <v>0</v>
      </c>
      <c r="F177" s="68">
        <v>0</v>
      </c>
      <c r="G177" s="68">
        <v>1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</row>
    <row r="178" spans="1:13" s="41" customFormat="1" ht="15.75" customHeight="1">
      <c r="A178" s="41" t="s">
        <v>529</v>
      </c>
      <c r="B178" s="262">
        <v>1</v>
      </c>
      <c r="C178" s="68">
        <v>0</v>
      </c>
      <c r="D178" s="68">
        <v>0</v>
      </c>
      <c r="E178" s="68">
        <v>0</v>
      </c>
      <c r="F178" s="68">
        <v>0</v>
      </c>
      <c r="G178" s="68">
        <v>0</v>
      </c>
      <c r="H178" s="68">
        <v>0</v>
      </c>
      <c r="I178" s="68">
        <v>1</v>
      </c>
      <c r="J178" s="68">
        <v>0</v>
      </c>
      <c r="K178" s="68">
        <v>0</v>
      </c>
      <c r="L178" s="68">
        <v>0</v>
      </c>
      <c r="M178" s="68">
        <v>0</v>
      </c>
    </row>
    <row r="179" spans="1:13" s="41" customFormat="1" ht="15.75" customHeight="1">
      <c r="A179" s="41" t="s">
        <v>21</v>
      </c>
      <c r="B179" s="262">
        <v>1</v>
      </c>
      <c r="C179" s="68">
        <v>0</v>
      </c>
      <c r="D179" s="68">
        <v>0</v>
      </c>
      <c r="E179" s="68">
        <v>0</v>
      </c>
      <c r="F179" s="68">
        <v>0</v>
      </c>
      <c r="G179" s="68">
        <v>0</v>
      </c>
      <c r="H179" s="68">
        <v>0</v>
      </c>
      <c r="I179" s="68">
        <v>1</v>
      </c>
      <c r="J179" s="68">
        <v>0</v>
      </c>
      <c r="K179" s="68">
        <v>0</v>
      </c>
      <c r="L179" s="68">
        <v>0</v>
      </c>
      <c r="M179" s="68">
        <v>0</v>
      </c>
    </row>
    <row r="180" spans="1:13" s="41" customFormat="1" ht="15.75" customHeight="1">
      <c r="A180" s="41" t="s">
        <v>191</v>
      </c>
      <c r="B180" s="262">
        <v>12</v>
      </c>
      <c r="C180" s="68">
        <v>0</v>
      </c>
      <c r="D180" s="68">
        <v>5</v>
      </c>
      <c r="E180" s="68">
        <v>2</v>
      </c>
      <c r="F180" s="68">
        <v>0</v>
      </c>
      <c r="G180" s="68">
        <v>3</v>
      </c>
      <c r="H180" s="68">
        <v>0</v>
      </c>
      <c r="I180" s="68">
        <v>1</v>
      </c>
      <c r="J180" s="68">
        <v>1</v>
      </c>
      <c r="K180" s="68">
        <v>0</v>
      </c>
      <c r="L180" s="68">
        <v>0</v>
      </c>
      <c r="M180" s="68">
        <v>0</v>
      </c>
    </row>
    <row r="181" spans="1:13" s="41" customFormat="1" ht="15.75" customHeight="1">
      <c r="A181" s="41" t="s">
        <v>22</v>
      </c>
      <c r="B181" s="262">
        <v>6</v>
      </c>
      <c r="C181" s="68">
        <v>0</v>
      </c>
      <c r="D181" s="68">
        <v>3</v>
      </c>
      <c r="E181" s="68">
        <v>1</v>
      </c>
      <c r="F181" s="68">
        <v>0</v>
      </c>
      <c r="G181" s="68">
        <v>1</v>
      </c>
      <c r="H181" s="68">
        <v>0</v>
      </c>
      <c r="I181" s="68">
        <v>0</v>
      </c>
      <c r="J181" s="68">
        <v>1</v>
      </c>
      <c r="K181" s="68">
        <v>0</v>
      </c>
      <c r="L181" s="68">
        <v>0</v>
      </c>
      <c r="M181" s="68">
        <v>0</v>
      </c>
    </row>
    <row r="182" spans="1:13" s="41" customFormat="1" ht="15.75" customHeight="1">
      <c r="A182" s="41" t="s">
        <v>21</v>
      </c>
      <c r="B182" s="262">
        <v>6</v>
      </c>
      <c r="C182" s="68">
        <v>0</v>
      </c>
      <c r="D182" s="68">
        <v>2</v>
      </c>
      <c r="E182" s="68">
        <v>1</v>
      </c>
      <c r="F182" s="68">
        <v>0</v>
      </c>
      <c r="G182" s="68">
        <v>2</v>
      </c>
      <c r="H182" s="68">
        <v>0</v>
      </c>
      <c r="I182" s="68">
        <v>1</v>
      </c>
      <c r="J182" s="68">
        <v>0</v>
      </c>
      <c r="K182" s="68">
        <v>0</v>
      </c>
      <c r="L182" s="68">
        <v>0</v>
      </c>
      <c r="M182" s="68">
        <v>0</v>
      </c>
    </row>
    <row r="183" spans="1:13" s="41" customFormat="1" ht="15.75" customHeight="1">
      <c r="A183" s="33" t="s">
        <v>278</v>
      </c>
      <c r="B183" s="261">
        <v>299</v>
      </c>
      <c r="C183" s="98">
        <v>71</v>
      </c>
      <c r="D183" s="98">
        <v>35</v>
      </c>
      <c r="E183" s="98">
        <v>23</v>
      </c>
      <c r="F183" s="98">
        <v>22</v>
      </c>
      <c r="G183" s="98">
        <v>47</v>
      </c>
      <c r="H183" s="98">
        <v>3</v>
      </c>
      <c r="I183" s="98">
        <v>30</v>
      </c>
      <c r="J183" s="98">
        <v>31</v>
      </c>
      <c r="K183" s="98">
        <v>8</v>
      </c>
      <c r="L183" s="98">
        <v>21</v>
      </c>
      <c r="M183" s="98">
        <v>8</v>
      </c>
    </row>
    <row r="184" spans="1:13" s="41" customFormat="1" ht="15.75" customHeight="1">
      <c r="A184" s="41" t="s">
        <v>170</v>
      </c>
      <c r="B184" s="262">
        <v>5</v>
      </c>
      <c r="C184" s="68">
        <v>4</v>
      </c>
      <c r="D184" s="68">
        <v>1</v>
      </c>
      <c r="E184" s="68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</row>
    <row r="185" spans="1:13" s="41" customFormat="1" ht="15.75" customHeight="1">
      <c r="A185" s="41" t="s">
        <v>22</v>
      </c>
      <c r="B185" s="262">
        <v>3</v>
      </c>
      <c r="C185" s="68">
        <v>2</v>
      </c>
      <c r="D185" s="68">
        <v>1</v>
      </c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</row>
    <row r="186" spans="1:13" s="41" customFormat="1" ht="15.75" customHeight="1">
      <c r="A186" s="41" t="s">
        <v>21</v>
      </c>
      <c r="B186" s="262">
        <v>2</v>
      </c>
      <c r="C186" s="68">
        <v>2</v>
      </c>
      <c r="D186" s="68">
        <v>0</v>
      </c>
      <c r="E186" s="68">
        <v>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</row>
    <row r="187" spans="1:13" s="41" customFormat="1" ht="15.75" customHeight="1">
      <c r="A187" s="41" t="s">
        <v>319</v>
      </c>
      <c r="B187" s="262">
        <v>1</v>
      </c>
      <c r="C187" s="68">
        <v>1</v>
      </c>
      <c r="D187" s="68">
        <v>0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</row>
    <row r="188" spans="1:13" s="41" customFormat="1" ht="15.75" customHeight="1">
      <c r="A188" s="41" t="s">
        <v>22</v>
      </c>
      <c r="B188" s="262">
        <v>1</v>
      </c>
      <c r="C188" s="68">
        <v>1</v>
      </c>
      <c r="D188" s="68">
        <v>0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</row>
    <row r="189" spans="1:13" s="41" customFormat="1" ht="15.75" customHeight="1">
      <c r="A189" s="41" t="s">
        <v>172</v>
      </c>
      <c r="B189" s="262">
        <v>100</v>
      </c>
      <c r="C189" s="68">
        <v>24</v>
      </c>
      <c r="D189" s="68">
        <v>10</v>
      </c>
      <c r="E189" s="68">
        <v>8</v>
      </c>
      <c r="F189" s="68">
        <v>5</v>
      </c>
      <c r="G189" s="68">
        <v>13</v>
      </c>
      <c r="H189" s="68">
        <v>0</v>
      </c>
      <c r="I189" s="68">
        <v>12</v>
      </c>
      <c r="J189" s="68">
        <v>10</v>
      </c>
      <c r="K189" s="68">
        <v>3</v>
      </c>
      <c r="L189" s="68">
        <v>11</v>
      </c>
      <c r="M189" s="68">
        <v>4</v>
      </c>
    </row>
    <row r="190" spans="1:13" s="41" customFormat="1" ht="15.75" customHeight="1">
      <c r="A190" s="41" t="s">
        <v>22</v>
      </c>
      <c r="B190" s="262">
        <v>68</v>
      </c>
      <c r="C190" s="68">
        <v>20</v>
      </c>
      <c r="D190" s="68">
        <v>7</v>
      </c>
      <c r="E190" s="68">
        <v>4</v>
      </c>
      <c r="F190" s="68">
        <v>3</v>
      </c>
      <c r="G190" s="68">
        <v>12</v>
      </c>
      <c r="H190" s="68">
        <v>0</v>
      </c>
      <c r="I190" s="68">
        <v>6</v>
      </c>
      <c r="J190" s="68">
        <v>6</v>
      </c>
      <c r="K190" s="68">
        <v>2</v>
      </c>
      <c r="L190" s="68">
        <v>5</v>
      </c>
      <c r="M190" s="68">
        <v>3</v>
      </c>
    </row>
    <row r="191" spans="1:13" s="41" customFormat="1" ht="15.75" customHeight="1">
      <c r="A191" s="41" t="s">
        <v>21</v>
      </c>
      <c r="B191" s="262">
        <v>32</v>
      </c>
      <c r="C191" s="68">
        <v>4</v>
      </c>
      <c r="D191" s="68">
        <v>3</v>
      </c>
      <c r="E191" s="68">
        <v>4</v>
      </c>
      <c r="F191" s="68">
        <v>2</v>
      </c>
      <c r="G191" s="68">
        <v>1</v>
      </c>
      <c r="H191" s="68">
        <v>0</v>
      </c>
      <c r="I191" s="68">
        <v>6</v>
      </c>
      <c r="J191" s="68">
        <v>4</v>
      </c>
      <c r="K191" s="68">
        <v>1</v>
      </c>
      <c r="L191" s="68">
        <v>6</v>
      </c>
      <c r="M191" s="68">
        <v>1</v>
      </c>
    </row>
    <row r="192" spans="1:13" s="41" customFormat="1" ht="15.75" customHeight="1">
      <c r="A192" s="41" t="s">
        <v>174</v>
      </c>
      <c r="B192" s="262">
        <v>5</v>
      </c>
      <c r="C192" s="68">
        <v>2</v>
      </c>
      <c r="D192" s="68">
        <v>1</v>
      </c>
      <c r="E192" s="68">
        <v>0</v>
      </c>
      <c r="F192" s="68">
        <v>0</v>
      </c>
      <c r="G192" s="68">
        <v>0</v>
      </c>
      <c r="H192" s="68">
        <v>0</v>
      </c>
      <c r="I192" s="68">
        <v>1</v>
      </c>
      <c r="J192" s="68">
        <v>1</v>
      </c>
      <c r="K192" s="68">
        <v>0</v>
      </c>
      <c r="L192" s="68">
        <v>0</v>
      </c>
      <c r="M192" s="68">
        <v>0</v>
      </c>
    </row>
    <row r="193" spans="1:13" s="41" customFormat="1" ht="15.75" customHeight="1">
      <c r="A193" s="41" t="s">
        <v>22</v>
      </c>
      <c r="B193" s="262">
        <v>4</v>
      </c>
      <c r="C193" s="68">
        <v>1</v>
      </c>
      <c r="D193" s="68">
        <v>1</v>
      </c>
      <c r="E193" s="68">
        <v>0</v>
      </c>
      <c r="F193" s="68">
        <v>0</v>
      </c>
      <c r="G193" s="68">
        <v>0</v>
      </c>
      <c r="H193" s="68">
        <v>0</v>
      </c>
      <c r="I193" s="68">
        <v>1</v>
      </c>
      <c r="J193" s="68">
        <v>1</v>
      </c>
      <c r="K193" s="68">
        <v>0</v>
      </c>
      <c r="L193" s="68">
        <v>0</v>
      </c>
      <c r="M193" s="68">
        <v>0</v>
      </c>
    </row>
    <row r="194" spans="1:13" s="41" customFormat="1" ht="15.75" customHeight="1">
      <c r="A194" s="41" t="s">
        <v>21</v>
      </c>
      <c r="B194" s="262">
        <v>1</v>
      </c>
      <c r="C194" s="68">
        <v>1</v>
      </c>
      <c r="D194" s="68">
        <v>0</v>
      </c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</row>
    <row r="195" spans="1:13" s="41" customFormat="1" ht="15.75" customHeight="1">
      <c r="A195" s="41" t="s">
        <v>320</v>
      </c>
      <c r="B195" s="262">
        <v>2</v>
      </c>
      <c r="C195" s="68">
        <v>0</v>
      </c>
      <c r="D195" s="68">
        <v>0</v>
      </c>
      <c r="E195" s="68">
        <v>0</v>
      </c>
      <c r="F195" s="68">
        <v>0</v>
      </c>
      <c r="G195" s="68">
        <v>1</v>
      </c>
      <c r="H195" s="68">
        <v>0</v>
      </c>
      <c r="I195" s="68">
        <v>0</v>
      </c>
      <c r="J195" s="68">
        <v>1</v>
      </c>
      <c r="K195" s="68">
        <v>0</v>
      </c>
      <c r="L195" s="68">
        <v>0</v>
      </c>
      <c r="M195" s="68">
        <v>0</v>
      </c>
    </row>
    <row r="196" spans="1:13" s="41" customFormat="1" ht="15.75" customHeight="1">
      <c r="A196" s="41" t="s">
        <v>22</v>
      </c>
      <c r="B196" s="262">
        <v>1</v>
      </c>
      <c r="C196" s="68">
        <v>0</v>
      </c>
      <c r="D196" s="68">
        <v>0</v>
      </c>
      <c r="E196" s="68">
        <v>0</v>
      </c>
      <c r="F196" s="68">
        <v>0</v>
      </c>
      <c r="G196" s="68">
        <v>1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</row>
    <row r="197" spans="1:13" s="41" customFormat="1" ht="15.75" customHeight="1">
      <c r="A197" s="41" t="s">
        <v>21</v>
      </c>
      <c r="B197" s="262">
        <v>1</v>
      </c>
      <c r="C197" s="68">
        <v>0</v>
      </c>
      <c r="D197" s="68">
        <v>0</v>
      </c>
      <c r="E197" s="68">
        <v>0</v>
      </c>
      <c r="F197" s="68">
        <v>0</v>
      </c>
      <c r="G197" s="68">
        <v>0</v>
      </c>
      <c r="H197" s="68">
        <v>0</v>
      </c>
      <c r="I197" s="68">
        <v>0</v>
      </c>
      <c r="J197" s="68">
        <v>1</v>
      </c>
      <c r="K197" s="68">
        <v>0</v>
      </c>
      <c r="L197" s="68">
        <v>0</v>
      </c>
      <c r="M197" s="68">
        <v>0</v>
      </c>
    </row>
    <row r="198" spans="1:13" s="41" customFormat="1" ht="15.75" customHeight="1">
      <c r="A198" s="41" t="s">
        <v>237</v>
      </c>
      <c r="B198" s="262">
        <v>58</v>
      </c>
      <c r="C198" s="68">
        <v>11</v>
      </c>
      <c r="D198" s="68">
        <v>10</v>
      </c>
      <c r="E198" s="68">
        <v>7</v>
      </c>
      <c r="F198" s="68">
        <v>2</v>
      </c>
      <c r="G198" s="68">
        <v>8</v>
      </c>
      <c r="H198" s="68">
        <v>0</v>
      </c>
      <c r="I198" s="68">
        <v>5</v>
      </c>
      <c r="J198" s="68">
        <v>7</v>
      </c>
      <c r="K198" s="68">
        <v>1</v>
      </c>
      <c r="L198" s="68">
        <v>7</v>
      </c>
      <c r="M198" s="68">
        <v>0</v>
      </c>
    </row>
    <row r="199" spans="1:13" s="41" customFormat="1" ht="15.75" customHeight="1">
      <c r="A199" s="41" t="s">
        <v>22</v>
      </c>
      <c r="B199" s="262">
        <v>37</v>
      </c>
      <c r="C199" s="68">
        <v>6</v>
      </c>
      <c r="D199" s="68">
        <v>7</v>
      </c>
      <c r="E199" s="68">
        <v>3</v>
      </c>
      <c r="F199" s="68">
        <v>2</v>
      </c>
      <c r="G199" s="68">
        <v>5</v>
      </c>
      <c r="H199" s="68">
        <v>0</v>
      </c>
      <c r="I199" s="68">
        <v>4</v>
      </c>
      <c r="J199" s="68">
        <v>5</v>
      </c>
      <c r="K199" s="68">
        <v>0</v>
      </c>
      <c r="L199" s="68">
        <v>5</v>
      </c>
      <c r="M199" s="68">
        <v>0</v>
      </c>
    </row>
    <row r="200" spans="1:13" s="41" customFormat="1" ht="15.75" customHeight="1">
      <c r="A200" s="41" t="s">
        <v>21</v>
      </c>
      <c r="B200" s="262">
        <v>21</v>
      </c>
      <c r="C200" s="68">
        <v>5</v>
      </c>
      <c r="D200" s="68">
        <v>3</v>
      </c>
      <c r="E200" s="68">
        <v>4</v>
      </c>
      <c r="F200" s="68">
        <v>0</v>
      </c>
      <c r="G200" s="68">
        <v>3</v>
      </c>
      <c r="H200" s="68">
        <v>0</v>
      </c>
      <c r="I200" s="68">
        <v>1</v>
      </c>
      <c r="J200" s="68">
        <v>2</v>
      </c>
      <c r="K200" s="68">
        <v>1</v>
      </c>
      <c r="L200" s="68">
        <v>2</v>
      </c>
      <c r="M200" s="68">
        <v>0</v>
      </c>
    </row>
    <row r="201" spans="1:13" s="41" customFormat="1" ht="15.75" customHeight="1">
      <c r="A201" s="41" t="s">
        <v>175</v>
      </c>
      <c r="B201" s="262">
        <v>2</v>
      </c>
      <c r="C201" s="68">
        <v>1</v>
      </c>
      <c r="D201" s="68">
        <v>0</v>
      </c>
      <c r="E201" s="68">
        <v>0</v>
      </c>
      <c r="F201" s="68">
        <v>0</v>
      </c>
      <c r="G201" s="68">
        <v>1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</row>
    <row r="202" spans="1:13" s="41" customFormat="1" ht="15.75" customHeight="1">
      <c r="A202" s="41" t="s">
        <v>22</v>
      </c>
      <c r="B202" s="262">
        <v>1</v>
      </c>
      <c r="C202" s="68">
        <v>1</v>
      </c>
      <c r="D202" s="68">
        <v>0</v>
      </c>
      <c r="E202" s="68">
        <v>0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</row>
    <row r="203" spans="1:13" s="41" customFormat="1" ht="15.75" customHeight="1">
      <c r="A203" s="41" t="s">
        <v>21</v>
      </c>
      <c r="B203" s="262">
        <v>1</v>
      </c>
      <c r="C203" s="68">
        <v>0</v>
      </c>
      <c r="D203" s="68">
        <v>0</v>
      </c>
      <c r="E203" s="68">
        <v>0</v>
      </c>
      <c r="F203" s="68">
        <v>0</v>
      </c>
      <c r="G203" s="68">
        <v>1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</row>
    <row r="204" spans="1:13" s="41" customFormat="1" ht="15.75" customHeight="1">
      <c r="A204" s="41" t="s">
        <v>321</v>
      </c>
      <c r="B204" s="262">
        <v>1</v>
      </c>
      <c r="C204" s="68">
        <v>1</v>
      </c>
      <c r="D204" s="68">
        <v>0</v>
      </c>
      <c r="E204" s="68">
        <v>0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</row>
    <row r="205" spans="1:13" s="41" customFormat="1" ht="15.75" customHeight="1">
      <c r="A205" s="41" t="s">
        <v>22</v>
      </c>
      <c r="B205" s="262">
        <v>1</v>
      </c>
      <c r="C205" s="68">
        <v>1</v>
      </c>
      <c r="D205" s="68">
        <v>0</v>
      </c>
      <c r="E205" s="68">
        <v>0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</row>
    <row r="206" spans="1:13" s="41" customFormat="1" ht="15.75" customHeight="1">
      <c r="A206" s="41" t="s">
        <v>322</v>
      </c>
      <c r="B206" s="262">
        <v>8</v>
      </c>
      <c r="C206" s="68">
        <v>4</v>
      </c>
      <c r="D206" s="68">
        <v>0</v>
      </c>
      <c r="E206" s="68">
        <v>0</v>
      </c>
      <c r="F206" s="68">
        <v>1</v>
      </c>
      <c r="G206" s="68">
        <v>0</v>
      </c>
      <c r="H206" s="68">
        <v>1</v>
      </c>
      <c r="I206" s="68">
        <v>0</v>
      </c>
      <c r="J206" s="68">
        <v>0</v>
      </c>
      <c r="K206" s="68">
        <v>1</v>
      </c>
      <c r="L206" s="68">
        <v>0</v>
      </c>
      <c r="M206" s="68">
        <v>1</v>
      </c>
    </row>
    <row r="207" spans="1:13" s="41" customFormat="1" ht="15.75" customHeight="1">
      <c r="A207" s="41" t="s">
        <v>22</v>
      </c>
      <c r="B207" s="262">
        <v>3</v>
      </c>
      <c r="C207" s="68">
        <v>2</v>
      </c>
      <c r="D207" s="68">
        <v>0</v>
      </c>
      <c r="E207" s="68">
        <v>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1</v>
      </c>
      <c r="L207" s="68">
        <v>0</v>
      </c>
      <c r="M207" s="68">
        <v>0</v>
      </c>
    </row>
    <row r="208" spans="1:13" s="41" customFormat="1" ht="15.75" customHeight="1">
      <c r="A208" s="41" t="s">
        <v>21</v>
      </c>
      <c r="B208" s="262">
        <v>5</v>
      </c>
      <c r="C208" s="68">
        <v>2</v>
      </c>
      <c r="D208" s="68">
        <v>0</v>
      </c>
      <c r="E208" s="68">
        <v>0</v>
      </c>
      <c r="F208" s="68">
        <v>1</v>
      </c>
      <c r="G208" s="68">
        <v>0</v>
      </c>
      <c r="H208" s="68">
        <v>1</v>
      </c>
      <c r="I208" s="68">
        <v>0</v>
      </c>
      <c r="J208" s="68">
        <v>0</v>
      </c>
      <c r="K208" s="68">
        <v>0</v>
      </c>
      <c r="L208" s="68">
        <v>0</v>
      </c>
      <c r="M208" s="68">
        <v>1</v>
      </c>
    </row>
    <row r="209" spans="1:13" s="41" customFormat="1" ht="15.75" customHeight="1">
      <c r="A209" s="41" t="s">
        <v>179</v>
      </c>
      <c r="B209" s="262">
        <v>19</v>
      </c>
      <c r="C209" s="68">
        <v>0</v>
      </c>
      <c r="D209" s="68">
        <v>2</v>
      </c>
      <c r="E209" s="68">
        <v>0</v>
      </c>
      <c r="F209" s="68">
        <v>2</v>
      </c>
      <c r="G209" s="68">
        <v>5</v>
      </c>
      <c r="H209" s="68">
        <v>2</v>
      </c>
      <c r="I209" s="68">
        <v>2</v>
      </c>
      <c r="J209" s="68">
        <v>5</v>
      </c>
      <c r="K209" s="68">
        <v>1</v>
      </c>
      <c r="L209" s="68">
        <v>0</v>
      </c>
      <c r="M209" s="68">
        <v>0</v>
      </c>
    </row>
    <row r="210" spans="1:13" s="41" customFormat="1" ht="15.75" customHeight="1">
      <c r="A210" s="41" t="s">
        <v>22</v>
      </c>
      <c r="B210" s="262">
        <v>14</v>
      </c>
      <c r="C210" s="68">
        <v>0</v>
      </c>
      <c r="D210" s="68">
        <v>1</v>
      </c>
      <c r="E210" s="68">
        <v>0</v>
      </c>
      <c r="F210" s="68">
        <v>1</v>
      </c>
      <c r="G210" s="68">
        <v>3</v>
      </c>
      <c r="H210" s="68">
        <v>1</v>
      </c>
      <c r="I210" s="68">
        <v>2</v>
      </c>
      <c r="J210" s="68">
        <v>5</v>
      </c>
      <c r="K210" s="68">
        <v>1</v>
      </c>
      <c r="L210" s="68">
        <v>0</v>
      </c>
      <c r="M210" s="68">
        <v>0</v>
      </c>
    </row>
    <row r="211" spans="1:13" s="41" customFormat="1" ht="15.75" customHeight="1">
      <c r="A211" s="41" t="s">
        <v>21</v>
      </c>
      <c r="B211" s="262">
        <v>5</v>
      </c>
      <c r="C211" s="68">
        <v>0</v>
      </c>
      <c r="D211" s="68">
        <v>1</v>
      </c>
      <c r="E211" s="68">
        <v>0</v>
      </c>
      <c r="F211" s="68">
        <v>1</v>
      </c>
      <c r="G211" s="68">
        <v>2</v>
      </c>
      <c r="H211" s="68">
        <v>1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</row>
    <row r="212" spans="1:13" s="41" customFormat="1" ht="15.75" customHeight="1">
      <c r="A212" s="41" t="s">
        <v>180</v>
      </c>
      <c r="B212" s="262">
        <v>4</v>
      </c>
      <c r="C212" s="68">
        <v>0</v>
      </c>
      <c r="D212" s="68">
        <v>1</v>
      </c>
      <c r="E212" s="68">
        <v>0</v>
      </c>
      <c r="F212" s="68">
        <v>1</v>
      </c>
      <c r="G212" s="68">
        <v>2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</row>
    <row r="213" spans="1:13" s="41" customFormat="1" ht="15.75" customHeight="1">
      <c r="A213" s="41" t="s">
        <v>22</v>
      </c>
      <c r="B213" s="262">
        <v>3</v>
      </c>
      <c r="C213" s="68">
        <v>0</v>
      </c>
      <c r="D213" s="68">
        <v>1</v>
      </c>
      <c r="E213" s="68">
        <v>0</v>
      </c>
      <c r="F213" s="68">
        <v>1</v>
      </c>
      <c r="G213" s="68">
        <v>1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</row>
    <row r="214" spans="1:13" s="41" customFormat="1" ht="15.75" customHeight="1">
      <c r="A214" s="41" t="s">
        <v>21</v>
      </c>
      <c r="B214" s="262">
        <v>1</v>
      </c>
      <c r="C214" s="68">
        <v>0</v>
      </c>
      <c r="D214" s="68">
        <v>0</v>
      </c>
      <c r="E214" s="68">
        <v>0</v>
      </c>
      <c r="F214" s="68">
        <v>0</v>
      </c>
      <c r="G214" s="68">
        <v>1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</row>
    <row r="215" spans="1:13" s="41" customFormat="1" ht="15.75" customHeight="1">
      <c r="A215" s="41" t="s">
        <v>242</v>
      </c>
      <c r="B215" s="262">
        <v>15</v>
      </c>
      <c r="C215" s="68">
        <v>2</v>
      </c>
      <c r="D215" s="68">
        <v>3</v>
      </c>
      <c r="E215" s="68">
        <v>1</v>
      </c>
      <c r="F215" s="68">
        <v>0</v>
      </c>
      <c r="G215" s="68">
        <v>1</v>
      </c>
      <c r="H215" s="68">
        <v>0</v>
      </c>
      <c r="I215" s="68">
        <v>3</v>
      </c>
      <c r="J215" s="68">
        <v>4</v>
      </c>
      <c r="K215" s="68">
        <v>0</v>
      </c>
      <c r="L215" s="68">
        <v>0</v>
      </c>
      <c r="M215" s="68">
        <v>1</v>
      </c>
    </row>
    <row r="216" spans="1:13" s="41" customFormat="1" ht="15.75" customHeight="1">
      <c r="A216" s="41" t="s">
        <v>22</v>
      </c>
      <c r="B216" s="262">
        <v>13</v>
      </c>
      <c r="C216" s="68">
        <v>2</v>
      </c>
      <c r="D216" s="68">
        <v>3</v>
      </c>
      <c r="E216" s="68">
        <v>0</v>
      </c>
      <c r="F216" s="68">
        <v>0</v>
      </c>
      <c r="G216" s="68">
        <v>1</v>
      </c>
      <c r="H216" s="68">
        <v>0</v>
      </c>
      <c r="I216" s="68">
        <v>2</v>
      </c>
      <c r="J216" s="68">
        <v>4</v>
      </c>
      <c r="K216" s="68">
        <v>0</v>
      </c>
      <c r="L216" s="68">
        <v>0</v>
      </c>
      <c r="M216" s="68">
        <v>1</v>
      </c>
    </row>
    <row r="217" spans="1:13" s="41" customFormat="1" ht="15.75" customHeight="1">
      <c r="A217" s="41" t="s">
        <v>21</v>
      </c>
      <c r="B217" s="262">
        <v>2</v>
      </c>
      <c r="C217" s="68">
        <v>0</v>
      </c>
      <c r="D217" s="68">
        <v>0</v>
      </c>
      <c r="E217" s="68">
        <v>1</v>
      </c>
      <c r="F217" s="68">
        <v>0</v>
      </c>
      <c r="G217" s="68">
        <v>0</v>
      </c>
      <c r="H217" s="68">
        <v>0</v>
      </c>
      <c r="I217" s="68">
        <v>1</v>
      </c>
      <c r="J217" s="68">
        <v>0</v>
      </c>
      <c r="K217" s="68">
        <v>0</v>
      </c>
      <c r="L217" s="68">
        <v>0</v>
      </c>
      <c r="M217" s="68">
        <v>0</v>
      </c>
    </row>
    <row r="218" spans="1:13" s="41" customFormat="1" ht="15.75" customHeight="1">
      <c r="A218" s="41" t="s">
        <v>340</v>
      </c>
      <c r="B218" s="262">
        <v>2</v>
      </c>
      <c r="C218" s="68">
        <v>2</v>
      </c>
      <c r="D218" s="68">
        <v>0</v>
      </c>
      <c r="E218" s="68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</row>
    <row r="219" spans="1:13" s="41" customFormat="1" ht="15.75" customHeight="1">
      <c r="A219" s="41" t="s">
        <v>22</v>
      </c>
      <c r="B219" s="262">
        <v>1</v>
      </c>
      <c r="C219" s="68">
        <v>1</v>
      </c>
      <c r="D219" s="68">
        <v>0</v>
      </c>
      <c r="E219" s="68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</row>
    <row r="220" spans="1:13" s="41" customFormat="1" ht="15.75" customHeight="1">
      <c r="A220" s="41" t="s">
        <v>21</v>
      </c>
      <c r="B220" s="262">
        <v>1</v>
      </c>
      <c r="C220" s="68">
        <v>1</v>
      </c>
      <c r="D220" s="68">
        <v>0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</row>
    <row r="221" spans="1:13" s="41" customFormat="1" ht="15.75" customHeight="1">
      <c r="A221" s="41" t="s">
        <v>282</v>
      </c>
      <c r="B221" s="262">
        <v>1</v>
      </c>
      <c r="C221" s="68">
        <v>1</v>
      </c>
      <c r="D221" s="68">
        <v>0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</row>
    <row r="222" spans="1:13" s="41" customFormat="1" ht="15.75" customHeight="1">
      <c r="A222" s="41" t="s">
        <v>22</v>
      </c>
      <c r="B222" s="262">
        <v>1</v>
      </c>
      <c r="C222" s="68">
        <v>1</v>
      </c>
      <c r="D222" s="68">
        <v>0</v>
      </c>
      <c r="E222" s="68">
        <v>0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</row>
    <row r="223" spans="1:13" s="41" customFormat="1" ht="15.75" customHeight="1">
      <c r="A223" s="41" t="s">
        <v>35</v>
      </c>
      <c r="B223" s="262">
        <v>1</v>
      </c>
      <c r="C223" s="68">
        <v>0</v>
      </c>
      <c r="D223" s="68">
        <v>0</v>
      </c>
      <c r="E223" s="68">
        <v>0</v>
      </c>
      <c r="F223" s="68">
        <v>1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</row>
    <row r="224" spans="1:13" s="41" customFormat="1" ht="15.75" customHeight="1">
      <c r="A224" s="41" t="s">
        <v>22</v>
      </c>
      <c r="B224" s="262">
        <v>1</v>
      </c>
      <c r="C224" s="68">
        <v>0</v>
      </c>
      <c r="D224" s="68">
        <v>0</v>
      </c>
      <c r="E224" s="68">
        <v>0</v>
      </c>
      <c r="F224" s="68">
        <v>1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</row>
    <row r="225" spans="1:13" s="41" customFormat="1" ht="15.75" customHeight="1">
      <c r="A225" s="41" t="s">
        <v>184</v>
      </c>
      <c r="B225" s="262">
        <v>7</v>
      </c>
      <c r="C225" s="68">
        <v>2</v>
      </c>
      <c r="D225" s="68">
        <v>1</v>
      </c>
      <c r="E225" s="68">
        <v>0</v>
      </c>
      <c r="F225" s="68">
        <v>1</v>
      </c>
      <c r="G225" s="68">
        <v>1</v>
      </c>
      <c r="H225" s="68">
        <v>0</v>
      </c>
      <c r="I225" s="68">
        <v>0</v>
      </c>
      <c r="J225" s="68">
        <v>2</v>
      </c>
      <c r="K225" s="68">
        <v>0</v>
      </c>
      <c r="L225" s="68">
        <v>0</v>
      </c>
      <c r="M225" s="68">
        <v>0</v>
      </c>
    </row>
    <row r="226" spans="1:13" s="41" customFormat="1" ht="15.75" customHeight="1">
      <c r="A226" s="41" t="s">
        <v>22</v>
      </c>
      <c r="B226" s="262">
        <v>4</v>
      </c>
      <c r="C226" s="68">
        <v>0</v>
      </c>
      <c r="D226" s="68">
        <v>1</v>
      </c>
      <c r="E226" s="68">
        <v>0</v>
      </c>
      <c r="F226" s="68">
        <v>1</v>
      </c>
      <c r="G226" s="68">
        <v>1</v>
      </c>
      <c r="H226" s="68">
        <v>0</v>
      </c>
      <c r="I226" s="68">
        <v>0</v>
      </c>
      <c r="J226" s="68">
        <v>1</v>
      </c>
      <c r="K226" s="68">
        <v>0</v>
      </c>
      <c r="L226" s="68">
        <v>0</v>
      </c>
      <c r="M226" s="68">
        <v>0</v>
      </c>
    </row>
    <row r="227" spans="1:13" s="41" customFormat="1" ht="15.75" customHeight="1">
      <c r="A227" s="41" t="s">
        <v>21</v>
      </c>
      <c r="B227" s="262">
        <v>3</v>
      </c>
      <c r="C227" s="68">
        <v>2</v>
      </c>
      <c r="D227" s="68">
        <v>0</v>
      </c>
      <c r="E227" s="68">
        <v>0</v>
      </c>
      <c r="F227" s="68">
        <v>0</v>
      </c>
      <c r="G227" s="68">
        <v>0</v>
      </c>
      <c r="H227" s="68">
        <v>0</v>
      </c>
      <c r="I227" s="68">
        <v>0</v>
      </c>
      <c r="J227" s="68">
        <v>1</v>
      </c>
      <c r="K227" s="68">
        <v>0</v>
      </c>
      <c r="L227" s="68">
        <v>0</v>
      </c>
      <c r="M227" s="68">
        <v>0</v>
      </c>
    </row>
    <row r="228" spans="1:13" s="41" customFormat="1" ht="15.75" customHeight="1">
      <c r="A228" s="41" t="s">
        <v>323</v>
      </c>
      <c r="B228" s="262">
        <v>7</v>
      </c>
      <c r="C228" s="68">
        <v>7</v>
      </c>
      <c r="D228" s="68">
        <v>0</v>
      </c>
      <c r="E228" s="68">
        <v>0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</row>
    <row r="229" spans="1:13" s="41" customFormat="1" ht="15.75" customHeight="1">
      <c r="A229" s="41" t="s">
        <v>22</v>
      </c>
      <c r="B229" s="262">
        <v>4</v>
      </c>
      <c r="C229" s="68">
        <v>4</v>
      </c>
      <c r="D229" s="68">
        <v>0</v>
      </c>
      <c r="E229" s="68">
        <v>0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</row>
    <row r="230" spans="1:13" s="41" customFormat="1" ht="15.75" customHeight="1">
      <c r="A230" s="41" t="s">
        <v>21</v>
      </c>
      <c r="B230" s="262">
        <v>3</v>
      </c>
      <c r="C230" s="68">
        <v>3</v>
      </c>
      <c r="D230" s="68">
        <v>0</v>
      </c>
      <c r="E230" s="68">
        <v>0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</row>
    <row r="231" spans="1:13" s="41" customFormat="1" ht="15.75" customHeight="1">
      <c r="A231" s="41" t="s">
        <v>324</v>
      </c>
      <c r="B231" s="262">
        <v>1</v>
      </c>
      <c r="C231" s="68">
        <v>0</v>
      </c>
      <c r="D231" s="68">
        <v>0</v>
      </c>
      <c r="E231" s="68">
        <v>0</v>
      </c>
      <c r="F231" s="68">
        <v>0</v>
      </c>
      <c r="G231" s="68">
        <v>0</v>
      </c>
      <c r="H231" s="68">
        <v>0</v>
      </c>
      <c r="I231" s="68">
        <v>1</v>
      </c>
      <c r="J231" s="68">
        <v>0</v>
      </c>
      <c r="K231" s="68">
        <v>0</v>
      </c>
      <c r="L231" s="68">
        <v>0</v>
      </c>
      <c r="M231" s="68">
        <v>0</v>
      </c>
    </row>
    <row r="232" spans="1:13" s="41" customFormat="1" ht="15.75" customHeight="1">
      <c r="A232" s="41" t="s">
        <v>21</v>
      </c>
      <c r="B232" s="262">
        <v>1</v>
      </c>
      <c r="C232" s="68">
        <v>0</v>
      </c>
      <c r="D232" s="68">
        <v>0</v>
      </c>
      <c r="E232" s="68">
        <v>0</v>
      </c>
      <c r="F232" s="68">
        <v>0</v>
      </c>
      <c r="G232" s="68">
        <v>0</v>
      </c>
      <c r="H232" s="68">
        <v>0</v>
      </c>
      <c r="I232" s="68">
        <v>1</v>
      </c>
      <c r="J232" s="68">
        <v>0</v>
      </c>
      <c r="K232" s="68">
        <v>0</v>
      </c>
      <c r="L232" s="68">
        <v>0</v>
      </c>
      <c r="M232" s="68">
        <v>0</v>
      </c>
    </row>
    <row r="233" spans="1:13" s="41" customFormat="1" ht="15.75" customHeight="1">
      <c r="A233" s="41" t="s">
        <v>194</v>
      </c>
      <c r="B233" s="262">
        <v>56</v>
      </c>
      <c r="C233" s="68">
        <v>9</v>
      </c>
      <c r="D233" s="68">
        <v>6</v>
      </c>
      <c r="E233" s="68">
        <v>7</v>
      </c>
      <c r="F233" s="68">
        <v>7</v>
      </c>
      <c r="G233" s="68">
        <v>14</v>
      </c>
      <c r="H233" s="68">
        <v>0</v>
      </c>
      <c r="I233" s="68">
        <v>6</v>
      </c>
      <c r="J233" s="68">
        <v>1</v>
      </c>
      <c r="K233" s="68">
        <v>1</v>
      </c>
      <c r="L233" s="68">
        <v>3</v>
      </c>
      <c r="M233" s="68">
        <v>2</v>
      </c>
    </row>
    <row r="234" spans="1:13" s="41" customFormat="1" ht="15.75" customHeight="1">
      <c r="A234" s="41" t="s">
        <v>22</v>
      </c>
      <c r="B234" s="262">
        <v>31</v>
      </c>
      <c r="C234" s="68">
        <v>7</v>
      </c>
      <c r="D234" s="68">
        <v>4</v>
      </c>
      <c r="E234" s="68">
        <v>3</v>
      </c>
      <c r="F234" s="68">
        <v>3</v>
      </c>
      <c r="G234" s="68">
        <v>8</v>
      </c>
      <c r="H234" s="68">
        <v>0</v>
      </c>
      <c r="I234" s="68">
        <v>4</v>
      </c>
      <c r="J234" s="68">
        <v>0</v>
      </c>
      <c r="K234" s="68">
        <v>0</v>
      </c>
      <c r="L234" s="68">
        <v>1</v>
      </c>
      <c r="M234" s="68">
        <v>1</v>
      </c>
    </row>
    <row r="235" spans="1:13" s="41" customFormat="1" ht="15.75" customHeight="1">
      <c r="A235" s="41" t="s">
        <v>21</v>
      </c>
      <c r="B235" s="262">
        <v>25</v>
      </c>
      <c r="C235" s="68">
        <v>2</v>
      </c>
      <c r="D235" s="68">
        <v>2</v>
      </c>
      <c r="E235" s="68">
        <v>4</v>
      </c>
      <c r="F235" s="68">
        <v>4</v>
      </c>
      <c r="G235" s="68">
        <v>6</v>
      </c>
      <c r="H235" s="68">
        <v>0</v>
      </c>
      <c r="I235" s="68">
        <v>2</v>
      </c>
      <c r="J235" s="68">
        <v>1</v>
      </c>
      <c r="K235" s="68">
        <v>1</v>
      </c>
      <c r="L235" s="68">
        <v>2</v>
      </c>
      <c r="M235" s="68">
        <v>1</v>
      </c>
    </row>
    <row r="236" spans="1:13" s="41" customFormat="1" ht="15.75" customHeight="1">
      <c r="A236" s="41" t="s">
        <v>283</v>
      </c>
      <c r="B236" s="262">
        <v>4</v>
      </c>
      <c r="C236" s="68">
        <v>0</v>
      </c>
      <c r="D236" s="68">
        <v>0</v>
      </c>
      <c r="E236" s="68">
        <v>0</v>
      </c>
      <c r="F236" s="68">
        <v>2</v>
      </c>
      <c r="G236" s="68">
        <v>1</v>
      </c>
      <c r="H236" s="68">
        <v>0</v>
      </c>
      <c r="I236" s="68">
        <v>0</v>
      </c>
      <c r="J236" s="68">
        <v>0</v>
      </c>
      <c r="K236" s="68">
        <v>1</v>
      </c>
      <c r="L236" s="68">
        <v>0</v>
      </c>
      <c r="M236" s="68">
        <v>0</v>
      </c>
    </row>
    <row r="237" spans="1:13" s="41" customFormat="1" ht="15.75" customHeight="1">
      <c r="A237" s="41" t="s">
        <v>22</v>
      </c>
      <c r="B237" s="262">
        <v>3</v>
      </c>
      <c r="C237" s="68">
        <v>0</v>
      </c>
      <c r="D237" s="68">
        <v>0</v>
      </c>
      <c r="E237" s="68">
        <v>0</v>
      </c>
      <c r="F237" s="68">
        <v>2</v>
      </c>
      <c r="G237" s="68">
        <v>0</v>
      </c>
      <c r="H237" s="68">
        <v>0</v>
      </c>
      <c r="I237" s="68">
        <v>0</v>
      </c>
      <c r="J237" s="68">
        <v>0</v>
      </c>
      <c r="K237" s="68">
        <v>1</v>
      </c>
      <c r="L237" s="68">
        <v>0</v>
      </c>
      <c r="M237" s="68">
        <v>0</v>
      </c>
    </row>
    <row r="238" spans="1:13" s="41" customFormat="1" ht="15.75" customHeight="1">
      <c r="A238" s="41" t="s">
        <v>21</v>
      </c>
      <c r="B238" s="262">
        <v>1</v>
      </c>
      <c r="C238" s="68">
        <v>0</v>
      </c>
      <c r="D238" s="68">
        <v>0</v>
      </c>
      <c r="E238" s="68">
        <v>0</v>
      </c>
      <c r="F238" s="68">
        <v>0</v>
      </c>
      <c r="G238" s="68">
        <v>1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</row>
    <row r="239" spans="1:13" s="41" customFormat="1" ht="15.75" customHeight="1">
      <c r="A239" s="33" t="s">
        <v>279</v>
      </c>
      <c r="B239" s="261">
        <v>325</v>
      </c>
      <c r="C239" s="98">
        <v>89</v>
      </c>
      <c r="D239" s="98">
        <v>57</v>
      </c>
      <c r="E239" s="98">
        <v>50</v>
      </c>
      <c r="F239" s="98">
        <v>7</v>
      </c>
      <c r="G239" s="98">
        <v>56</v>
      </c>
      <c r="H239" s="98">
        <v>2</v>
      </c>
      <c r="I239" s="98">
        <v>19</v>
      </c>
      <c r="J239" s="98">
        <v>26</v>
      </c>
      <c r="K239" s="98">
        <v>9</v>
      </c>
      <c r="L239" s="98">
        <v>8</v>
      </c>
      <c r="M239" s="98">
        <v>2</v>
      </c>
    </row>
    <row r="240" spans="1:13" s="41" customFormat="1" ht="15.75" customHeight="1">
      <c r="A240" s="41" t="s">
        <v>31</v>
      </c>
      <c r="B240" s="262">
        <v>8</v>
      </c>
      <c r="C240" s="68">
        <v>5</v>
      </c>
      <c r="D240" s="68">
        <v>0</v>
      </c>
      <c r="E240" s="68">
        <v>0</v>
      </c>
      <c r="F240" s="68">
        <v>1</v>
      </c>
      <c r="G240" s="68">
        <v>1</v>
      </c>
      <c r="H240" s="68">
        <v>0</v>
      </c>
      <c r="I240" s="68">
        <v>0</v>
      </c>
      <c r="J240" s="68">
        <v>1</v>
      </c>
      <c r="K240" s="68">
        <v>0</v>
      </c>
      <c r="L240" s="68">
        <v>0</v>
      </c>
      <c r="M240" s="68">
        <v>0</v>
      </c>
    </row>
    <row r="241" spans="1:13" s="41" customFormat="1" ht="15.75" customHeight="1">
      <c r="A241" s="41" t="s">
        <v>22</v>
      </c>
      <c r="B241" s="262">
        <v>3</v>
      </c>
      <c r="C241" s="68">
        <v>2</v>
      </c>
      <c r="D241" s="68">
        <v>0</v>
      </c>
      <c r="E241" s="68">
        <v>0</v>
      </c>
      <c r="F241" s="68">
        <v>0</v>
      </c>
      <c r="G241" s="68">
        <v>1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</row>
    <row r="242" spans="1:13" s="41" customFormat="1" ht="15.75" customHeight="1">
      <c r="A242" s="41" t="s">
        <v>21</v>
      </c>
      <c r="B242" s="262">
        <v>5</v>
      </c>
      <c r="C242" s="68">
        <v>3</v>
      </c>
      <c r="D242" s="68">
        <v>0</v>
      </c>
      <c r="E242" s="68">
        <v>0</v>
      </c>
      <c r="F242" s="68">
        <v>1</v>
      </c>
      <c r="G242" s="68">
        <v>0</v>
      </c>
      <c r="H242" s="68">
        <v>0</v>
      </c>
      <c r="I242" s="68">
        <v>0</v>
      </c>
      <c r="J242" s="68">
        <v>1</v>
      </c>
      <c r="K242" s="68">
        <v>0</v>
      </c>
      <c r="L242" s="68">
        <v>0</v>
      </c>
      <c r="M242" s="68">
        <v>0</v>
      </c>
    </row>
    <row r="243" spans="1:13" s="41" customFormat="1" ht="15.75" customHeight="1">
      <c r="A243" s="41" t="s">
        <v>64</v>
      </c>
      <c r="B243" s="262">
        <v>9</v>
      </c>
      <c r="C243" s="68">
        <v>4</v>
      </c>
      <c r="D243" s="68">
        <v>0</v>
      </c>
      <c r="E243" s="68">
        <v>0</v>
      </c>
      <c r="F243" s="68">
        <v>0</v>
      </c>
      <c r="G243" s="68">
        <v>2</v>
      </c>
      <c r="H243" s="68">
        <v>0</v>
      </c>
      <c r="I243" s="68">
        <v>0</v>
      </c>
      <c r="J243" s="68">
        <v>0</v>
      </c>
      <c r="K243" s="68">
        <v>3</v>
      </c>
      <c r="L243" s="68">
        <v>0</v>
      </c>
      <c r="M243" s="68">
        <v>0</v>
      </c>
    </row>
    <row r="244" spans="1:13" s="41" customFormat="1" ht="15.75" customHeight="1">
      <c r="A244" s="41" t="s">
        <v>22</v>
      </c>
      <c r="B244" s="262">
        <v>3</v>
      </c>
      <c r="C244" s="68">
        <v>1</v>
      </c>
      <c r="D244" s="68">
        <v>0</v>
      </c>
      <c r="E244" s="68">
        <v>0</v>
      </c>
      <c r="F244" s="68">
        <v>0</v>
      </c>
      <c r="G244" s="68">
        <v>1</v>
      </c>
      <c r="H244" s="68">
        <v>0</v>
      </c>
      <c r="I244" s="68">
        <v>0</v>
      </c>
      <c r="J244" s="68">
        <v>0</v>
      </c>
      <c r="K244" s="68">
        <v>1</v>
      </c>
      <c r="L244" s="68">
        <v>0</v>
      </c>
      <c r="M244" s="68">
        <v>0</v>
      </c>
    </row>
    <row r="245" spans="1:13" s="41" customFormat="1" ht="15.75" customHeight="1">
      <c r="A245" s="41" t="s">
        <v>21</v>
      </c>
      <c r="B245" s="262">
        <v>6</v>
      </c>
      <c r="C245" s="68">
        <v>3</v>
      </c>
      <c r="D245" s="68">
        <v>0</v>
      </c>
      <c r="E245" s="68">
        <v>0</v>
      </c>
      <c r="F245" s="68">
        <v>0</v>
      </c>
      <c r="G245" s="68">
        <v>1</v>
      </c>
      <c r="H245" s="68">
        <v>0</v>
      </c>
      <c r="I245" s="68">
        <v>0</v>
      </c>
      <c r="J245" s="68">
        <v>0</v>
      </c>
      <c r="K245" s="68">
        <v>2</v>
      </c>
      <c r="L245" s="68">
        <v>0</v>
      </c>
      <c r="M245" s="68">
        <v>0</v>
      </c>
    </row>
    <row r="246" spans="1:13" s="41" customFormat="1" ht="15.75" customHeight="1">
      <c r="A246" s="41" t="s">
        <v>301</v>
      </c>
      <c r="B246" s="262">
        <v>2</v>
      </c>
      <c r="C246" s="68">
        <v>0</v>
      </c>
      <c r="D246" s="68">
        <v>1</v>
      </c>
      <c r="E246" s="68">
        <v>0</v>
      </c>
      <c r="F246" s="68">
        <v>0</v>
      </c>
      <c r="G246" s="68">
        <v>1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</row>
    <row r="247" spans="1:13" s="41" customFormat="1" ht="15.75" customHeight="1">
      <c r="A247" s="41" t="s">
        <v>22</v>
      </c>
      <c r="B247" s="262">
        <v>2</v>
      </c>
      <c r="C247" s="68">
        <v>0</v>
      </c>
      <c r="D247" s="68">
        <v>1</v>
      </c>
      <c r="E247" s="68">
        <v>0</v>
      </c>
      <c r="F247" s="68">
        <v>0</v>
      </c>
      <c r="G247" s="68">
        <v>1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</row>
    <row r="248" spans="1:13" s="41" customFormat="1" ht="15.75" customHeight="1">
      <c r="A248" s="41" t="s">
        <v>281</v>
      </c>
      <c r="B248" s="262">
        <v>99</v>
      </c>
      <c r="C248" s="68">
        <v>28</v>
      </c>
      <c r="D248" s="68">
        <v>19</v>
      </c>
      <c r="E248" s="68">
        <v>25</v>
      </c>
      <c r="F248" s="68">
        <v>1</v>
      </c>
      <c r="G248" s="68">
        <v>17</v>
      </c>
      <c r="H248" s="68">
        <v>0</v>
      </c>
      <c r="I248" s="68">
        <v>3</v>
      </c>
      <c r="J248" s="68">
        <v>0</v>
      </c>
      <c r="K248" s="68">
        <v>3</v>
      </c>
      <c r="L248" s="68">
        <v>3</v>
      </c>
      <c r="M248" s="68">
        <v>0</v>
      </c>
    </row>
    <row r="249" spans="1:13" s="41" customFormat="1" ht="15.75" customHeight="1">
      <c r="A249" s="41" t="s">
        <v>22</v>
      </c>
      <c r="B249" s="262">
        <v>57</v>
      </c>
      <c r="C249" s="68">
        <v>15</v>
      </c>
      <c r="D249" s="68">
        <v>10</v>
      </c>
      <c r="E249" s="68">
        <v>14</v>
      </c>
      <c r="F249" s="68">
        <v>1</v>
      </c>
      <c r="G249" s="68">
        <v>9</v>
      </c>
      <c r="H249" s="68">
        <v>0</v>
      </c>
      <c r="I249" s="68">
        <v>3</v>
      </c>
      <c r="J249" s="68">
        <v>0</v>
      </c>
      <c r="K249" s="68">
        <v>3</v>
      </c>
      <c r="L249" s="68">
        <v>2</v>
      </c>
      <c r="M249" s="68">
        <v>0</v>
      </c>
    </row>
    <row r="250" spans="1:13" s="41" customFormat="1" ht="15.75" customHeight="1">
      <c r="A250" s="41" t="s">
        <v>21</v>
      </c>
      <c r="B250" s="262">
        <v>42</v>
      </c>
      <c r="C250" s="68">
        <v>13</v>
      </c>
      <c r="D250" s="68">
        <v>9</v>
      </c>
      <c r="E250" s="68">
        <v>11</v>
      </c>
      <c r="F250" s="68">
        <v>0</v>
      </c>
      <c r="G250" s="68">
        <v>8</v>
      </c>
      <c r="H250" s="68">
        <v>0</v>
      </c>
      <c r="I250" s="68">
        <v>0</v>
      </c>
      <c r="J250" s="68">
        <v>0</v>
      </c>
      <c r="K250" s="68">
        <v>0</v>
      </c>
      <c r="L250" s="68">
        <v>1</v>
      </c>
      <c r="M250" s="68">
        <v>0</v>
      </c>
    </row>
    <row r="251" spans="1:13" s="41" customFormat="1" ht="15.75" customHeight="1">
      <c r="A251" s="41" t="s">
        <v>325</v>
      </c>
      <c r="B251" s="262">
        <v>3</v>
      </c>
      <c r="C251" s="68">
        <v>1</v>
      </c>
      <c r="D251" s="68">
        <v>0</v>
      </c>
      <c r="E251" s="68">
        <v>0</v>
      </c>
      <c r="F251" s="68">
        <v>0</v>
      </c>
      <c r="G251" s="68">
        <v>0</v>
      </c>
      <c r="H251" s="68">
        <v>0</v>
      </c>
      <c r="I251" s="68">
        <v>2</v>
      </c>
      <c r="J251" s="68">
        <v>0</v>
      </c>
      <c r="K251" s="68">
        <v>0</v>
      </c>
      <c r="L251" s="68">
        <v>0</v>
      </c>
      <c r="M251" s="68">
        <v>0</v>
      </c>
    </row>
    <row r="252" spans="1:13" s="41" customFormat="1" ht="15.75" customHeight="1">
      <c r="A252" s="41" t="s">
        <v>22</v>
      </c>
      <c r="B252" s="262">
        <v>3</v>
      </c>
      <c r="C252" s="68">
        <v>1</v>
      </c>
      <c r="D252" s="68">
        <v>0</v>
      </c>
      <c r="E252" s="68">
        <v>0</v>
      </c>
      <c r="F252" s="68">
        <v>0</v>
      </c>
      <c r="G252" s="68">
        <v>0</v>
      </c>
      <c r="H252" s="68">
        <v>0</v>
      </c>
      <c r="I252" s="68">
        <v>2</v>
      </c>
      <c r="J252" s="68">
        <v>0</v>
      </c>
      <c r="K252" s="68">
        <v>0</v>
      </c>
      <c r="L252" s="68">
        <v>0</v>
      </c>
      <c r="M252" s="68">
        <v>0</v>
      </c>
    </row>
    <row r="253" spans="1:13" s="41" customFormat="1" ht="15.75" customHeight="1">
      <c r="A253" s="41" t="s">
        <v>176</v>
      </c>
      <c r="B253" s="262">
        <v>25</v>
      </c>
      <c r="C253" s="68">
        <v>12</v>
      </c>
      <c r="D253" s="68">
        <v>4</v>
      </c>
      <c r="E253" s="68">
        <v>0</v>
      </c>
      <c r="F253" s="68">
        <v>0</v>
      </c>
      <c r="G253" s="68">
        <v>3</v>
      </c>
      <c r="H253" s="68">
        <v>0</v>
      </c>
      <c r="I253" s="68">
        <v>0</v>
      </c>
      <c r="J253" s="68">
        <v>6</v>
      </c>
      <c r="K253" s="68">
        <v>0</v>
      </c>
      <c r="L253" s="68">
        <v>0</v>
      </c>
      <c r="M253" s="68">
        <v>0</v>
      </c>
    </row>
    <row r="254" spans="1:13" s="41" customFormat="1" ht="15.75" customHeight="1">
      <c r="A254" s="41" t="s">
        <v>22</v>
      </c>
      <c r="B254" s="262">
        <v>11</v>
      </c>
      <c r="C254" s="68">
        <v>3</v>
      </c>
      <c r="D254" s="68">
        <v>3</v>
      </c>
      <c r="E254" s="68">
        <v>0</v>
      </c>
      <c r="F254" s="68">
        <v>0</v>
      </c>
      <c r="G254" s="68">
        <v>1</v>
      </c>
      <c r="H254" s="68">
        <v>0</v>
      </c>
      <c r="I254" s="68">
        <v>0</v>
      </c>
      <c r="J254" s="68">
        <v>4</v>
      </c>
      <c r="K254" s="68">
        <v>0</v>
      </c>
      <c r="L254" s="68">
        <v>0</v>
      </c>
      <c r="M254" s="68">
        <v>0</v>
      </c>
    </row>
    <row r="255" spans="1:13" s="41" customFormat="1" ht="15.75" customHeight="1">
      <c r="A255" s="41" t="s">
        <v>21</v>
      </c>
      <c r="B255" s="262">
        <v>14</v>
      </c>
      <c r="C255" s="68">
        <v>9</v>
      </c>
      <c r="D255" s="68">
        <v>1</v>
      </c>
      <c r="E255" s="68">
        <v>0</v>
      </c>
      <c r="F255" s="68">
        <v>0</v>
      </c>
      <c r="G255" s="68">
        <v>2</v>
      </c>
      <c r="H255" s="68">
        <v>0</v>
      </c>
      <c r="I255" s="68">
        <v>0</v>
      </c>
      <c r="J255" s="68">
        <v>2</v>
      </c>
      <c r="K255" s="68">
        <v>0</v>
      </c>
      <c r="L255" s="68">
        <v>0</v>
      </c>
      <c r="M255" s="68">
        <v>0</v>
      </c>
    </row>
    <row r="256" spans="1:13" s="41" customFormat="1" ht="15.75" customHeight="1">
      <c r="A256" s="41" t="s">
        <v>177</v>
      </c>
      <c r="B256" s="262">
        <v>6</v>
      </c>
      <c r="C256" s="68">
        <v>2</v>
      </c>
      <c r="D256" s="68">
        <v>2</v>
      </c>
      <c r="E256" s="68">
        <v>1</v>
      </c>
      <c r="F256" s="68">
        <v>0</v>
      </c>
      <c r="G256" s="68">
        <v>1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</row>
    <row r="257" spans="1:13" s="41" customFormat="1" ht="15.75" customHeight="1">
      <c r="A257" s="41" t="s">
        <v>22</v>
      </c>
      <c r="B257" s="262">
        <v>5</v>
      </c>
      <c r="C257" s="68">
        <v>2</v>
      </c>
      <c r="D257" s="68">
        <v>2</v>
      </c>
      <c r="E257" s="68">
        <v>1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</row>
    <row r="258" spans="1:13" s="41" customFormat="1" ht="15.75" customHeight="1">
      <c r="A258" s="41" t="s">
        <v>21</v>
      </c>
      <c r="B258" s="262">
        <v>1</v>
      </c>
      <c r="C258" s="68">
        <v>0</v>
      </c>
      <c r="D258" s="68">
        <v>0</v>
      </c>
      <c r="E258" s="68">
        <v>0</v>
      </c>
      <c r="F258" s="68">
        <v>0</v>
      </c>
      <c r="G258" s="68">
        <v>1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</row>
    <row r="259" spans="1:13" s="41" customFormat="1" ht="15.75" customHeight="1">
      <c r="A259" s="41" t="s">
        <v>33</v>
      </c>
      <c r="B259" s="262">
        <v>11</v>
      </c>
      <c r="C259" s="68">
        <v>4</v>
      </c>
      <c r="D259" s="68">
        <v>1</v>
      </c>
      <c r="E259" s="68">
        <v>0</v>
      </c>
      <c r="F259" s="68">
        <v>0</v>
      </c>
      <c r="G259" s="68">
        <v>4</v>
      </c>
      <c r="H259" s="68">
        <v>0</v>
      </c>
      <c r="I259" s="68">
        <v>1</v>
      </c>
      <c r="J259" s="68">
        <v>1</v>
      </c>
      <c r="K259" s="68">
        <v>0</v>
      </c>
      <c r="L259" s="68">
        <v>0</v>
      </c>
      <c r="M259" s="68">
        <v>0</v>
      </c>
    </row>
    <row r="260" spans="1:13" s="41" customFormat="1" ht="15.75" customHeight="1">
      <c r="A260" s="41" t="s">
        <v>22</v>
      </c>
      <c r="B260" s="262">
        <v>3</v>
      </c>
      <c r="C260" s="68">
        <v>2</v>
      </c>
      <c r="D260" s="68">
        <v>0</v>
      </c>
      <c r="E260" s="68">
        <v>0</v>
      </c>
      <c r="F260" s="68">
        <v>0</v>
      </c>
      <c r="G260" s="68">
        <v>1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</row>
    <row r="261" spans="1:13" s="41" customFormat="1" ht="15.75" customHeight="1">
      <c r="A261" s="41" t="s">
        <v>21</v>
      </c>
      <c r="B261" s="262">
        <v>8</v>
      </c>
      <c r="C261" s="68">
        <v>2</v>
      </c>
      <c r="D261" s="68">
        <v>1</v>
      </c>
      <c r="E261" s="68">
        <v>0</v>
      </c>
      <c r="F261" s="68">
        <v>0</v>
      </c>
      <c r="G261" s="68">
        <v>3</v>
      </c>
      <c r="H261" s="68">
        <v>0</v>
      </c>
      <c r="I261" s="68">
        <v>1</v>
      </c>
      <c r="J261" s="68">
        <v>1</v>
      </c>
      <c r="K261" s="68">
        <v>0</v>
      </c>
      <c r="L261" s="68">
        <v>0</v>
      </c>
      <c r="M261" s="68">
        <v>0</v>
      </c>
    </row>
    <row r="262" spans="1:13" s="41" customFormat="1" ht="15.75" customHeight="1">
      <c r="A262" s="41" t="s">
        <v>65</v>
      </c>
      <c r="B262" s="262">
        <v>4</v>
      </c>
      <c r="C262" s="68">
        <v>1</v>
      </c>
      <c r="D262" s="68">
        <v>1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68">
        <v>2</v>
      </c>
      <c r="K262" s="68">
        <v>0</v>
      </c>
      <c r="L262" s="68">
        <v>0</v>
      </c>
      <c r="M262" s="68">
        <v>0</v>
      </c>
    </row>
    <row r="263" spans="1:13" s="41" customFormat="1" ht="15.75" customHeight="1">
      <c r="A263" s="41" t="s">
        <v>22</v>
      </c>
      <c r="B263" s="262">
        <v>3</v>
      </c>
      <c r="C263" s="68">
        <v>1</v>
      </c>
      <c r="D263" s="68">
        <v>0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2</v>
      </c>
      <c r="K263" s="68">
        <v>0</v>
      </c>
      <c r="L263" s="68">
        <v>0</v>
      </c>
      <c r="M263" s="68">
        <v>0</v>
      </c>
    </row>
    <row r="264" spans="1:13" s="41" customFormat="1" ht="15.75" customHeight="1">
      <c r="A264" s="41" t="s">
        <v>21</v>
      </c>
      <c r="B264" s="262">
        <v>1</v>
      </c>
      <c r="C264" s="68">
        <v>0</v>
      </c>
      <c r="D264" s="68">
        <v>1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</row>
    <row r="265" spans="1:13" s="41" customFormat="1" ht="15.75" customHeight="1">
      <c r="A265" s="41" t="s">
        <v>178</v>
      </c>
      <c r="B265" s="262">
        <v>15</v>
      </c>
      <c r="C265" s="68">
        <v>5</v>
      </c>
      <c r="D265" s="68">
        <v>5</v>
      </c>
      <c r="E265" s="68">
        <v>1</v>
      </c>
      <c r="F265" s="68">
        <v>0</v>
      </c>
      <c r="G265" s="68">
        <v>1</v>
      </c>
      <c r="H265" s="68">
        <v>0</v>
      </c>
      <c r="I265" s="68">
        <v>1</v>
      </c>
      <c r="J265" s="68">
        <v>1</v>
      </c>
      <c r="K265" s="68">
        <v>0</v>
      </c>
      <c r="L265" s="68">
        <v>1</v>
      </c>
      <c r="M265" s="68">
        <v>0</v>
      </c>
    </row>
    <row r="266" spans="1:13" s="41" customFormat="1" ht="15.75" customHeight="1">
      <c r="A266" s="41" t="s">
        <v>22</v>
      </c>
      <c r="B266" s="262">
        <v>9</v>
      </c>
      <c r="C266" s="68">
        <v>2</v>
      </c>
      <c r="D266" s="68">
        <v>2</v>
      </c>
      <c r="E266" s="68">
        <v>1</v>
      </c>
      <c r="F266" s="68">
        <v>0</v>
      </c>
      <c r="G266" s="68">
        <v>1</v>
      </c>
      <c r="H266" s="68">
        <v>0</v>
      </c>
      <c r="I266" s="68">
        <v>1</v>
      </c>
      <c r="J266" s="68">
        <v>1</v>
      </c>
      <c r="K266" s="68">
        <v>0</v>
      </c>
      <c r="L266" s="68">
        <v>1</v>
      </c>
      <c r="M266" s="68">
        <v>0</v>
      </c>
    </row>
    <row r="267" spans="1:13" s="41" customFormat="1" ht="15.75" customHeight="1">
      <c r="A267" s="41" t="s">
        <v>21</v>
      </c>
      <c r="B267" s="262">
        <v>6</v>
      </c>
      <c r="C267" s="68">
        <v>3</v>
      </c>
      <c r="D267" s="68">
        <v>3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</row>
    <row r="268" spans="1:13" s="41" customFormat="1" ht="15.75" customHeight="1">
      <c r="A268" s="41" t="s">
        <v>25</v>
      </c>
      <c r="B268" s="262">
        <v>5</v>
      </c>
      <c r="C268" s="68">
        <v>1</v>
      </c>
      <c r="D268" s="68">
        <v>4</v>
      </c>
      <c r="E268" s="68">
        <v>0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</row>
    <row r="269" spans="1:13" s="41" customFormat="1" ht="15.75" customHeight="1">
      <c r="A269" s="41" t="s">
        <v>22</v>
      </c>
      <c r="B269" s="262">
        <v>1</v>
      </c>
      <c r="C269" s="68">
        <v>0</v>
      </c>
      <c r="D269" s="68">
        <v>1</v>
      </c>
      <c r="E269" s="68">
        <v>0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</row>
    <row r="270" spans="1:13" s="41" customFormat="1" ht="15.75" customHeight="1">
      <c r="A270" s="41" t="s">
        <v>21</v>
      </c>
      <c r="B270" s="262">
        <v>4</v>
      </c>
      <c r="C270" s="68">
        <v>1</v>
      </c>
      <c r="D270" s="68">
        <v>3</v>
      </c>
      <c r="E270" s="68">
        <v>0</v>
      </c>
      <c r="F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</row>
    <row r="271" spans="1:13" s="41" customFormat="1" ht="15.75" customHeight="1">
      <c r="A271" s="41" t="s">
        <v>201</v>
      </c>
      <c r="B271" s="262">
        <v>1</v>
      </c>
      <c r="C271" s="68">
        <v>1</v>
      </c>
      <c r="D271" s="68">
        <v>0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</row>
    <row r="272" spans="1:13" s="41" customFormat="1" ht="15.75" customHeight="1">
      <c r="A272" s="41" t="s">
        <v>22</v>
      </c>
      <c r="B272" s="262">
        <v>1</v>
      </c>
      <c r="C272" s="68">
        <v>1</v>
      </c>
      <c r="D272" s="68">
        <v>0</v>
      </c>
      <c r="E272" s="68">
        <v>0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</row>
    <row r="273" spans="1:13" s="41" customFormat="1" ht="15.75" customHeight="1">
      <c r="A273" s="41" t="s">
        <v>326</v>
      </c>
      <c r="B273" s="262">
        <v>1</v>
      </c>
      <c r="C273" s="68">
        <v>0</v>
      </c>
      <c r="D273" s="68">
        <v>0</v>
      </c>
      <c r="E273" s="68">
        <v>1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</row>
    <row r="274" spans="1:13" s="41" customFormat="1" ht="15.75" customHeight="1">
      <c r="A274" s="41" t="s">
        <v>21</v>
      </c>
      <c r="B274" s="262">
        <v>1</v>
      </c>
      <c r="C274" s="68">
        <v>0</v>
      </c>
      <c r="D274" s="68">
        <v>0</v>
      </c>
      <c r="E274" s="68">
        <v>1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</row>
    <row r="275" spans="1:13" s="41" customFormat="1" ht="15.75" customHeight="1">
      <c r="A275" s="41" t="s">
        <v>239</v>
      </c>
      <c r="B275" s="262">
        <v>1</v>
      </c>
      <c r="C275" s="68">
        <v>0</v>
      </c>
      <c r="D275" s="68">
        <v>0</v>
      </c>
      <c r="E275" s="68">
        <v>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1</v>
      </c>
      <c r="L275" s="68">
        <v>0</v>
      </c>
      <c r="M275" s="68">
        <v>0</v>
      </c>
    </row>
    <row r="276" spans="1:13" s="41" customFormat="1" ht="15.75" customHeight="1">
      <c r="A276" s="41" t="s">
        <v>22</v>
      </c>
      <c r="B276" s="262">
        <v>1</v>
      </c>
      <c r="C276" s="68">
        <v>0</v>
      </c>
      <c r="D276" s="68">
        <v>0</v>
      </c>
      <c r="E276" s="68">
        <v>0</v>
      </c>
      <c r="F276" s="68">
        <v>0</v>
      </c>
      <c r="G276" s="68">
        <v>0</v>
      </c>
      <c r="H276" s="68">
        <v>0</v>
      </c>
      <c r="I276" s="68">
        <v>0</v>
      </c>
      <c r="J276" s="68">
        <v>0</v>
      </c>
      <c r="K276" s="68">
        <v>1</v>
      </c>
      <c r="L276" s="68">
        <v>0</v>
      </c>
      <c r="M276" s="68">
        <v>0</v>
      </c>
    </row>
    <row r="277" spans="1:13" s="41" customFormat="1" ht="15.75" customHeight="1">
      <c r="A277" s="41" t="s">
        <v>327</v>
      </c>
      <c r="B277" s="262">
        <v>4</v>
      </c>
      <c r="C277" s="68">
        <v>1</v>
      </c>
      <c r="D277" s="68">
        <v>0</v>
      </c>
      <c r="E277" s="68">
        <v>1</v>
      </c>
      <c r="F277" s="68">
        <v>0</v>
      </c>
      <c r="G277" s="68">
        <v>2</v>
      </c>
      <c r="H277" s="68">
        <v>0</v>
      </c>
      <c r="I277" s="68">
        <v>0</v>
      </c>
      <c r="J277" s="68">
        <v>0</v>
      </c>
      <c r="K277" s="68">
        <v>0</v>
      </c>
      <c r="L277" s="68">
        <v>0</v>
      </c>
      <c r="M277" s="68">
        <v>0</v>
      </c>
    </row>
    <row r="278" spans="1:13" s="41" customFormat="1" ht="15.75" customHeight="1">
      <c r="A278" s="41" t="s">
        <v>22</v>
      </c>
      <c r="B278" s="262">
        <v>4</v>
      </c>
      <c r="C278" s="68">
        <v>1</v>
      </c>
      <c r="D278" s="68">
        <v>0</v>
      </c>
      <c r="E278" s="68">
        <v>1</v>
      </c>
      <c r="F278" s="68">
        <v>0</v>
      </c>
      <c r="G278" s="68">
        <v>2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</row>
    <row r="279" spans="1:13" s="41" customFormat="1" ht="15.75" customHeight="1">
      <c r="A279" s="41" t="s">
        <v>530</v>
      </c>
      <c r="B279" s="262">
        <v>1</v>
      </c>
      <c r="C279" s="68">
        <v>0</v>
      </c>
      <c r="D279" s="68">
        <v>0</v>
      </c>
      <c r="E279" s="68">
        <v>0</v>
      </c>
      <c r="F279" s="68">
        <v>0</v>
      </c>
      <c r="G279" s="68">
        <v>1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</row>
    <row r="280" spans="1:13" s="41" customFormat="1" ht="15.75" customHeight="1">
      <c r="A280" s="41" t="s">
        <v>22</v>
      </c>
      <c r="B280" s="262">
        <v>1</v>
      </c>
      <c r="C280" s="68">
        <v>0</v>
      </c>
      <c r="D280" s="68">
        <v>0</v>
      </c>
      <c r="E280" s="68">
        <v>0</v>
      </c>
      <c r="F280" s="68">
        <v>0</v>
      </c>
      <c r="G280" s="68">
        <v>1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</row>
    <row r="281" spans="1:13" s="41" customFormat="1" ht="15.75" customHeight="1">
      <c r="A281" s="41" t="s">
        <v>241</v>
      </c>
      <c r="B281" s="262">
        <v>2</v>
      </c>
      <c r="C281" s="68">
        <v>0</v>
      </c>
      <c r="D281" s="68">
        <v>1</v>
      </c>
      <c r="E281" s="68">
        <v>0</v>
      </c>
      <c r="F281" s="68">
        <v>0</v>
      </c>
      <c r="G281" s="68">
        <v>1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</row>
    <row r="282" spans="1:13" s="41" customFormat="1" ht="15.75" customHeight="1">
      <c r="A282" s="41" t="s">
        <v>21</v>
      </c>
      <c r="B282" s="262">
        <v>2</v>
      </c>
      <c r="C282" s="68">
        <v>0</v>
      </c>
      <c r="D282" s="68">
        <v>1</v>
      </c>
      <c r="E282" s="68">
        <v>0</v>
      </c>
      <c r="F282" s="68">
        <v>0</v>
      </c>
      <c r="G282" s="68">
        <v>1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</row>
    <row r="283" spans="1:13" s="41" customFormat="1" ht="15.75" customHeight="1">
      <c r="A283" s="41" t="s">
        <v>34</v>
      </c>
      <c r="B283" s="262">
        <v>1</v>
      </c>
      <c r="C283" s="68">
        <v>0</v>
      </c>
      <c r="D283" s="68">
        <v>0</v>
      </c>
      <c r="E283" s="68">
        <v>1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</row>
    <row r="284" spans="1:13" s="41" customFormat="1" ht="15.75" customHeight="1">
      <c r="A284" s="41" t="s">
        <v>21</v>
      </c>
      <c r="B284" s="262">
        <v>1</v>
      </c>
      <c r="C284" s="68">
        <v>0</v>
      </c>
      <c r="D284" s="68">
        <v>0</v>
      </c>
      <c r="E284" s="68">
        <v>1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</row>
    <row r="285" spans="1:13" s="41" customFormat="1" ht="15.75" customHeight="1">
      <c r="A285" s="41" t="s">
        <v>183</v>
      </c>
      <c r="B285" s="262">
        <v>3</v>
      </c>
      <c r="C285" s="68">
        <v>0</v>
      </c>
      <c r="D285" s="68">
        <v>0</v>
      </c>
      <c r="E285" s="68">
        <v>0</v>
      </c>
      <c r="F285" s="68">
        <v>0</v>
      </c>
      <c r="G285" s="68">
        <v>1</v>
      </c>
      <c r="H285" s="68">
        <v>0</v>
      </c>
      <c r="I285" s="68">
        <v>0</v>
      </c>
      <c r="J285" s="68">
        <v>2</v>
      </c>
      <c r="K285" s="68">
        <v>0</v>
      </c>
      <c r="L285" s="68">
        <v>0</v>
      </c>
      <c r="M285" s="68">
        <v>0</v>
      </c>
    </row>
    <row r="286" spans="1:13" s="41" customFormat="1" ht="15.75" customHeight="1">
      <c r="A286" s="41" t="s">
        <v>22</v>
      </c>
      <c r="B286" s="262">
        <v>1</v>
      </c>
      <c r="C286" s="68">
        <v>0</v>
      </c>
      <c r="D286" s="68">
        <v>0</v>
      </c>
      <c r="E286" s="68">
        <v>0</v>
      </c>
      <c r="F286" s="68">
        <v>0</v>
      </c>
      <c r="G286" s="68">
        <v>0</v>
      </c>
      <c r="H286" s="68">
        <v>0</v>
      </c>
      <c r="I286" s="68">
        <v>0</v>
      </c>
      <c r="J286" s="68">
        <v>1</v>
      </c>
      <c r="K286" s="68">
        <v>0</v>
      </c>
      <c r="L286" s="68">
        <v>0</v>
      </c>
      <c r="M286" s="68">
        <v>0</v>
      </c>
    </row>
    <row r="287" spans="1:13" s="41" customFormat="1" ht="15.75" customHeight="1">
      <c r="A287" s="41" t="s">
        <v>21</v>
      </c>
      <c r="B287" s="262">
        <v>2</v>
      </c>
      <c r="C287" s="68">
        <v>0</v>
      </c>
      <c r="D287" s="68">
        <v>0</v>
      </c>
      <c r="E287" s="68">
        <v>0</v>
      </c>
      <c r="F287" s="68">
        <v>0</v>
      </c>
      <c r="G287" s="68">
        <v>1</v>
      </c>
      <c r="H287" s="68">
        <v>0</v>
      </c>
      <c r="I287" s="68">
        <v>0</v>
      </c>
      <c r="J287" s="68">
        <v>1</v>
      </c>
      <c r="K287" s="68">
        <v>0</v>
      </c>
      <c r="L287" s="68">
        <v>0</v>
      </c>
      <c r="M287" s="68">
        <v>0</v>
      </c>
    </row>
    <row r="288" spans="1:13" s="41" customFormat="1" ht="15.75" customHeight="1">
      <c r="A288" s="41" t="s">
        <v>185</v>
      </c>
      <c r="B288" s="262">
        <v>23</v>
      </c>
      <c r="C288" s="68">
        <v>4</v>
      </c>
      <c r="D288" s="68">
        <v>2</v>
      </c>
      <c r="E288" s="68">
        <v>1</v>
      </c>
      <c r="F288" s="68">
        <v>0</v>
      </c>
      <c r="G288" s="68">
        <v>3</v>
      </c>
      <c r="H288" s="68">
        <v>0</v>
      </c>
      <c r="I288" s="68">
        <v>2</v>
      </c>
      <c r="J288" s="68">
        <v>10</v>
      </c>
      <c r="K288" s="68">
        <v>0</v>
      </c>
      <c r="L288" s="68">
        <v>1</v>
      </c>
      <c r="M288" s="68">
        <v>0</v>
      </c>
    </row>
    <row r="289" spans="1:13" s="41" customFormat="1" ht="15.75" customHeight="1">
      <c r="A289" s="41" t="s">
        <v>22</v>
      </c>
      <c r="B289" s="262">
        <v>20</v>
      </c>
      <c r="C289" s="68">
        <v>4</v>
      </c>
      <c r="D289" s="68">
        <v>2</v>
      </c>
      <c r="E289" s="68">
        <v>1</v>
      </c>
      <c r="F289" s="68">
        <v>0</v>
      </c>
      <c r="G289" s="68">
        <v>3</v>
      </c>
      <c r="H289" s="68">
        <v>0</v>
      </c>
      <c r="I289" s="68">
        <v>2</v>
      </c>
      <c r="J289" s="68">
        <v>7</v>
      </c>
      <c r="K289" s="68">
        <v>0</v>
      </c>
      <c r="L289" s="68">
        <v>1</v>
      </c>
      <c r="M289" s="68">
        <v>0</v>
      </c>
    </row>
    <row r="290" spans="1:13" s="41" customFormat="1" ht="15.75" customHeight="1">
      <c r="A290" s="41" t="s">
        <v>21</v>
      </c>
      <c r="B290" s="262">
        <v>3</v>
      </c>
      <c r="C290" s="68">
        <v>0</v>
      </c>
      <c r="D290" s="68">
        <v>0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3</v>
      </c>
      <c r="K290" s="68">
        <v>0</v>
      </c>
      <c r="L290" s="68">
        <v>0</v>
      </c>
      <c r="M290" s="68">
        <v>0</v>
      </c>
    </row>
    <row r="291" spans="1:13" s="41" customFormat="1" ht="15.75" customHeight="1">
      <c r="A291" s="41" t="s">
        <v>335</v>
      </c>
      <c r="B291" s="262">
        <v>3</v>
      </c>
      <c r="C291" s="68">
        <v>0</v>
      </c>
      <c r="D291" s="68">
        <v>0</v>
      </c>
      <c r="E291" s="68">
        <v>0</v>
      </c>
      <c r="F291" s="68">
        <v>0</v>
      </c>
      <c r="G291" s="68">
        <v>2</v>
      </c>
      <c r="H291" s="68">
        <v>0</v>
      </c>
      <c r="I291" s="68">
        <v>0</v>
      </c>
      <c r="J291" s="68">
        <v>0</v>
      </c>
      <c r="K291" s="68">
        <v>0</v>
      </c>
      <c r="L291" s="68">
        <v>1</v>
      </c>
      <c r="M291" s="68">
        <v>0</v>
      </c>
    </row>
    <row r="292" spans="1:13" s="41" customFormat="1" ht="15.75" customHeight="1">
      <c r="A292" s="41" t="s">
        <v>22</v>
      </c>
      <c r="B292" s="262">
        <v>2</v>
      </c>
      <c r="C292" s="68">
        <v>0</v>
      </c>
      <c r="D292" s="68">
        <v>0</v>
      </c>
      <c r="E292" s="68">
        <v>0</v>
      </c>
      <c r="F292" s="68">
        <v>0</v>
      </c>
      <c r="G292" s="68">
        <v>1</v>
      </c>
      <c r="H292" s="68">
        <v>0</v>
      </c>
      <c r="I292" s="68">
        <v>0</v>
      </c>
      <c r="J292" s="68">
        <v>0</v>
      </c>
      <c r="K292" s="68">
        <v>0</v>
      </c>
      <c r="L292" s="68">
        <v>1</v>
      </c>
      <c r="M292" s="68">
        <v>0</v>
      </c>
    </row>
    <row r="293" spans="1:13" s="41" customFormat="1" ht="15.75" customHeight="1">
      <c r="A293" s="41" t="s">
        <v>21</v>
      </c>
      <c r="B293" s="262">
        <v>1</v>
      </c>
      <c r="C293" s="68">
        <v>0</v>
      </c>
      <c r="D293" s="68">
        <v>0</v>
      </c>
      <c r="E293" s="68">
        <v>0</v>
      </c>
      <c r="F293" s="68">
        <v>0</v>
      </c>
      <c r="G293" s="68">
        <v>1</v>
      </c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</row>
    <row r="294" spans="1:13" s="41" customFormat="1" ht="15.75" customHeight="1">
      <c r="A294" s="41" t="s">
        <v>188</v>
      </c>
      <c r="B294" s="262">
        <v>3</v>
      </c>
      <c r="C294" s="68">
        <v>0</v>
      </c>
      <c r="D294" s="68">
        <v>1</v>
      </c>
      <c r="E294" s="68">
        <v>0</v>
      </c>
      <c r="F294" s="68">
        <v>1</v>
      </c>
      <c r="G294" s="68">
        <v>1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</row>
    <row r="295" spans="1:13" s="41" customFormat="1" ht="15.75" customHeight="1">
      <c r="A295" s="41" t="s">
        <v>22</v>
      </c>
      <c r="B295" s="262">
        <v>2</v>
      </c>
      <c r="C295" s="68">
        <v>0</v>
      </c>
      <c r="D295" s="68">
        <v>1</v>
      </c>
      <c r="E295" s="68">
        <v>0</v>
      </c>
      <c r="F295" s="68">
        <v>1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</row>
    <row r="296" spans="1:13" s="41" customFormat="1" ht="15.75" customHeight="1">
      <c r="A296" s="41" t="s">
        <v>21</v>
      </c>
      <c r="B296" s="262">
        <v>1</v>
      </c>
      <c r="C296" s="68">
        <v>0</v>
      </c>
      <c r="D296" s="68">
        <v>0</v>
      </c>
      <c r="E296" s="68">
        <v>0</v>
      </c>
      <c r="F296" s="68">
        <v>0</v>
      </c>
      <c r="G296" s="68">
        <v>1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</row>
    <row r="297" spans="1:13" s="41" customFormat="1" ht="15.75" customHeight="1">
      <c r="A297" s="41" t="s">
        <v>284</v>
      </c>
      <c r="B297" s="262">
        <v>35</v>
      </c>
      <c r="C297" s="68">
        <v>12</v>
      </c>
      <c r="D297" s="68">
        <v>13</v>
      </c>
      <c r="E297" s="68">
        <v>7</v>
      </c>
      <c r="F297" s="68">
        <v>0</v>
      </c>
      <c r="G297" s="68">
        <v>3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</row>
    <row r="298" spans="1:13" s="41" customFormat="1" ht="15.75" customHeight="1">
      <c r="A298" s="41" t="s">
        <v>22</v>
      </c>
      <c r="B298" s="262">
        <v>18</v>
      </c>
      <c r="C298" s="68">
        <v>4</v>
      </c>
      <c r="D298" s="68">
        <v>8</v>
      </c>
      <c r="E298" s="68">
        <v>4</v>
      </c>
      <c r="F298" s="68">
        <v>0</v>
      </c>
      <c r="G298" s="68">
        <v>2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</row>
    <row r="299" spans="1:13" s="41" customFormat="1" ht="15.75" customHeight="1">
      <c r="A299" s="41" t="s">
        <v>21</v>
      </c>
      <c r="B299" s="262">
        <v>17</v>
      </c>
      <c r="C299" s="68">
        <v>8</v>
      </c>
      <c r="D299" s="68">
        <v>5</v>
      </c>
      <c r="E299" s="68">
        <v>3</v>
      </c>
      <c r="F299" s="68">
        <v>0</v>
      </c>
      <c r="G299" s="68">
        <v>1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</row>
    <row r="300" spans="1:13" s="41" customFormat="1" ht="15.75" customHeight="1">
      <c r="A300" s="41" t="s">
        <v>248</v>
      </c>
      <c r="B300" s="262">
        <v>3</v>
      </c>
      <c r="C300" s="68">
        <v>0</v>
      </c>
      <c r="D300" s="68">
        <v>0</v>
      </c>
      <c r="E300" s="68">
        <v>0</v>
      </c>
      <c r="F300" s="68">
        <v>0</v>
      </c>
      <c r="G300" s="68">
        <v>2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1</v>
      </c>
    </row>
    <row r="301" spans="1:13" s="41" customFormat="1" ht="15.75" customHeight="1">
      <c r="A301" s="41" t="s">
        <v>22</v>
      </c>
      <c r="B301" s="262">
        <v>3</v>
      </c>
      <c r="C301" s="68">
        <v>0</v>
      </c>
      <c r="D301" s="68">
        <v>0</v>
      </c>
      <c r="E301" s="68">
        <v>0</v>
      </c>
      <c r="F301" s="68">
        <v>0</v>
      </c>
      <c r="G301" s="68">
        <v>2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1</v>
      </c>
    </row>
    <row r="302" spans="1:13" s="41" customFormat="1" ht="15.75" customHeight="1">
      <c r="A302" s="41" t="s">
        <v>190</v>
      </c>
      <c r="B302" s="262">
        <v>52</v>
      </c>
      <c r="C302" s="68">
        <v>6</v>
      </c>
      <c r="D302" s="68">
        <v>3</v>
      </c>
      <c r="E302" s="68">
        <v>11</v>
      </c>
      <c r="F302" s="68">
        <v>4</v>
      </c>
      <c r="G302" s="68">
        <v>10</v>
      </c>
      <c r="H302" s="68">
        <v>2</v>
      </c>
      <c r="I302" s="68">
        <v>9</v>
      </c>
      <c r="J302" s="68">
        <v>3</v>
      </c>
      <c r="K302" s="68">
        <v>2</v>
      </c>
      <c r="L302" s="68">
        <v>1</v>
      </c>
      <c r="M302" s="68">
        <v>1</v>
      </c>
    </row>
    <row r="303" spans="1:13" s="41" customFormat="1" ht="15.75" customHeight="1">
      <c r="A303" s="41" t="s">
        <v>22</v>
      </c>
      <c r="B303" s="262">
        <v>43</v>
      </c>
      <c r="C303" s="68">
        <v>6</v>
      </c>
      <c r="D303" s="68">
        <v>3</v>
      </c>
      <c r="E303" s="68">
        <v>8</v>
      </c>
      <c r="F303" s="68">
        <v>3</v>
      </c>
      <c r="G303" s="68">
        <v>8</v>
      </c>
      <c r="H303" s="68">
        <v>2</v>
      </c>
      <c r="I303" s="68">
        <v>7</v>
      </c>
      <c r="J303" s="68">
        <v>3</v>
      </c>
      <c r="K303" s="68">
        <v>1</v>
      </c>
      <c r="L303" s="68">
        <v>1</v>
      </c>
      <c r="M303" s="68">
        <v>1</v>
      </c>
    </row>
    <row r="304" spans="1:13" s="41" customFormat="1" ht="15.75" customHeight="1">
      <c r="A304" s="41" t="s">
        <v>21</v>
      </c>
      <c r="B304" s="262">
        <v>9</v>
      </c>
      <c r="C304" s="68">
        <v>0</v>
      </c>
      <c r="D304" s="68">
        <v>0</v>
      </c>
      <c r="E304" s="68">
        <v>3</v>
      </c>
      <c r="F304" s="68">
        <v>1</v>
      </c>
      <c r="G304" s="68">
        <v>2</v>
      </c>
      <c r="H304" s="68">
        <v>0</v>
      </c>
      <c r="I304" s="68">
        <v>2</v>
      </c>
      <c r="J304" s="68">
        <v>0</v>
      </c>
      <c r="K304" s="68">
        <v>1</v>
      </c>
      <c r="L304" s="68">
        <v>0</v>
      </c>
      <c r="M304" s="68">
        <v>0</v>
      </c>
    </row>
    <row r="305" spans="1:13" s="41" customFormat="1" ht="15.75" customHeight="1">
      <c r="A305" s="41" t="s">
        <v>250</v>
      </c>
      <c r="B305" s="262">
        <v>2</v>
      </c>
      <c r="C305" s="68">
        <v>0</v>
      </c>
      <c r="D305" s="68">
        <v>0</v>
      </c>
      <c r="E305" s="68">
        <v>1</v>
      </c>
      <c r="F305" s="68">
        <v>0</v>
      </c>
      <c r="G305" s="68">
        <v>0</v>
      </c>
      <c r="H305" s="68">
        <v>0</v>
      </c>
      <c r="I305" s="68">
        <v>1</v>
      </c>
      <c r="J305" s="68">
        <v>0</v>
      </c>
      <c r="K305" s="68">
        <v>0</v>
      </c>
      <c r="L305" s="68">
        <v>0</v>
      </c>
      <c r="M305" s="68">
        <v>0</v>
      </c>
    </row>
    <row r="306" spans="1:13" s="41" customFormat="1" ht="15.75" customHeight="1">
      <c r="A306" s="41" t="s">
        <v>22</v>
      </c>
      <c r="B306" s="262">
        <v>1</v>
      </c>
      <c r="C306" s="68">
        <v>0</v>
      </c>
      <c r="D306" s="68">
        <v>0</v>
      </c>
      <c r="E306" s="68">
        <v>0</v>
      </c>
      <c r="F306" s="68">
        <v>0</v>
      </c>
      <c r="G306" s="68">
        <v>0</v>
      </c>
      <c r="H306" s="68">
        <v>0</v>
      </c>
      <c r="I306" s="68">
        <v>1</v>
      </c>
      <c r="J306" s="68">
        <v>0</v>
      </c>
      <c r="K306" s="68">
        <v>0</v>
      </c>
      <c r="L306" s="68">
        <v>0</v>
      </c>
      <c r="M306" s="68">
        <v>0</v>
      </c>
    </row>
    <row r="307" spans="1:13" s="41" customFormat="1" ht="15.75" customHeight="1">
      <c r="A307" s="41" t="s">
        <v>21</v>
      </c>
      <c r="B307" s="262">
        <v>1</v>
      </c>
      <c r="C307" s="68">
        <v>0</v>
      </c>
      <c r="D307" s="68">
        <v>0</v>
      </c>
      <c r="E307" s="68">
        <v>1</v>
      </c>
      <c r="F307" s="68">
        <v>0</v>
      </c>
      <c r="G307" s="68">
        <v>0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</row>
    <row r="308" spans="1:13" s="41" customFormat="1" ht="15.75" customHeight="1">
      <c r="A308" s="41" t="s">
        <v>328</v>
      </c>
      <c r="B308" s="262">
        <v>1</v>
      </c>
      <c r="C308" s="68">
        <v>1</v>
      </c>
      <c r="D308" s="68">
        <v>0</v>
      </c>
      <c r="E308" s="68">
        <v>0</v>
      </c>
      <c r="F308" s="68">
        <v>0</v>
      </c>
      <c r="G308" s="68">
        <v>0</v>
      </c>
      <c r="H308" s="68">
        <v>0</v>
      </c>
      <c r="I308" s="68">
        <v>0</v>
      </c>
      <c r="J308" s="68">
        <v>0</v>
      </c>
      <c r="K308" s="68">
        <v>0</v>
      </c>
      <c r="L308" s="68">
        <v>0</v>
      </c>
      <c r="M308" s="68">
        <v>0</v>
      </c>
    </row>
    <row r="309" spans="1:13" s="41" customFormat="1" ht="15.75" customHeight="1">
      <c r="A309" s="41" t="s">
        <v>21</v>
      </c>
      <c r="B309" s="262">
        <v>1</v>
      </c>
      <c r="C309" s="68">
        <v>1</v>
      </c>
      <c r="D309" s="68">
        <v>0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</row>
    <row r="310" spans="1:13" s="41" customFormat="1" ht="15.75" customHeight="1">
      <c r="A310" s="41" t="s">
        <v>341</v>
      </c>
      <c r="B310" s="262">
        <v>2</v>
      </c>
      <c r="C310" s="68">
        <v>1</v>
      </c>
      <c r="D310" s="68">
        <v>0</v>
      </c>
      <c r="E310" s="68">
        <v>0</v>
      </c>
      <c r="F310" s="68">
        <v>0</v>
      </c>
      <c r="G310" s="68">
        <v>0</v>
      </c>
      <c r="H310" s="68">
        <v>0</v>
      </c>
      <c r="I310" s="68">
        <v>0</v>
      </c>
      <c r="J310" s="68">
        <v>0</v>
      </c>
      <c r="K310" s="68">
        <v>0</v>
      </c>
      <c r="L310" s="68">
        <v>1</v>
      </c>
      <c r="M310" s="68">
        <v>0</v>
      </c>
    </row>
    <row r="311" spans="1:13" s="41" customFormat="1" ht="15.75" customHeight="1">
      <c r="A311" s="41" t="s">
        <v>22</v>
      </c>
      <c r="B311" s="262">
        <v>2</v>
      </c>
      <c r="C311" s="68">
        <v>1</v>
      </c>
      <c r="D311" s="68">
        <v>0</v>
      </c>
      <c r="E311" s="68">
        <v>0</v>
      </c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  <c r="L311" s="68">
        <v>1</v>
      </c>
      <c r="M311" s="68">
        <v>0</v>
      </c>
    </row>
    <row r="312" spans="1:13" s="41" customFormat="1" ht="15.75" customHeight="1">
      <c r="A312" s="33" t="s">
        <v>280</v>
      </c>
      <c r="B312" s="261">
        <v>10</v>
      </c>
      <c r="C312" s="98">
        <v>5</v>
      </c>
      <c r="D312" s="98">
        <v>0</v>
      </c>
      <c r="E312" s="98">
        <v>0</v>
      </c>
      <c r="F312" s="98">
        <v>0</v>
      </c>
      <c r="G312" s="98">
        <v>3</v>
      </c>
      <c r="H312" s="98">
        <v>0</v>
      </c>
      <c r="I312" s="98">
        <v>2</v>
      </c>
      <c r="J312" s="98">
        <v>0</v>
      </c>
      <c r="K312" s="98">
        <v>0</v>
      </c>
      <c r="L312" s="98">
        <v>0</v>
      </c>
      <c r="M312" s="98">
        <v>0</v>
      </c>
    </row>
    <row r="313" spans="1:13" s="41" customFormat="1" ht="15.75" customHeight="1">
      <c r="A313" s="41" t="s">
        <v>171</v>
      </c>
      <c r="B313" s="262">
        <v>7</v>
      </c>
      <c r="C313" s="68">
        <v>5</v>
      </c>
      <c r="D313" s="68">
        <v>0</v>
      </c>
      <c r="E313" s="68">
        <v>0</v>
      </c>
      <c r="F313" s="68">
        <v>0</v>
      </c>
      <c r="G313" s="68">
        <v>0</v>
      </c>
      <c r="H313" s="68">
        <v>0</v>
      </c>
      <c r="I313" s="68">
        <v>2</v>
      </c>
      <c r="J313" s="68">
        <v>0</v>
      </c>
      <c r="K313" s="68">
        <v>0</v>
      </c>
      <c r="L313" s="68">
        <v>0</v>
      </c>
      <c r="M313" s="68">
        <v>0</v>
      </c>
    </row>
    <row r="314" spans="1:13" s="41" customFormat="1" ht="15.75" customHeight="1">
      <c r="A314" s="41" t="s">
        <v>22</v>
      </c>
      <c r="B314" s="262">
        <v>3</v>
      </c>
      <c r="C314" s="68">
        <v>1</v>
      </c>
      <c r="D314" s="68">
        <v>0</v>
      </c>
      <c r="E314" s="68">
        <v>0</v>
      </c>
      <c r="F314" s="68">
        <v>0</v>
      </c>
      <c r="G314" s="68">
        <v>0</v>
      </c>
      <c r="H314" s="68">
        <v>0</v>
      </c>
      <c r="I314" s="68">
        <v>2</v>
      </c>
      <c r="J314" s="68">
        <v>0</v>
      </c>
      <c r="K314" s="68">
        <v>0</v>
      </c>
      <c r="L314" s="68">
        <v>0</v>
      </c>
      <c r="M314" s="68">
        <v>0</v>
      </c>
    </row>
    <row r="315" spans="1:13" s="41" customFormat="1" ht="15.75" customHeight="1">
      <c r="A315" s="41" t="s">
        <v>21</v>
      </c>
      <c r="B315" s="262">
        <v>4</v>
      </c>
      <c r="C315" s="68">
        <v>4</v>
      </c>
      <c r="D315" s="68">
        <v>0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0</v>
      </c>
      <c r="L315" s="68">
        <v>0</v>
      </c>
      <c r="M315" s="68">
        <v>0</v>
      </c>
    </row>
    <row r="316" spans="1:13" s="41" customFormat="1" ht="15.75" customHeight="1">
      <c r="A316" s="41" t="s">
        <v>257</v>
      </c>
      <c r="B316" s="262">
        <v>3</v>
      </c>
      <c r="C316" s="68">
        <v>0</v>
      </c>
      <c r="D316" s="68">
        <v>0</v>
      </c>
      <c r="E316" s="68">
        <v>0</v>
      </c>
      <c r="F316" s="68">
        <v>0</v>
      </c>
      <c r="G316" s="68">
        <v>3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</row>
    <row r="317" spans="1:13" s="41" customFormat="1" ht="15.75" customHeight="1">
      <c r="A317" s="41" t="s">
        <v>22</v>
      </c>
      <c r="B317" s="262">
        <v>2</v>
      </c>
      <c r="C317" s="68">
        <v>0</v>
      </c>
      <c r="D317" s="68">
        <v>0</v>
      </c>
      <c r="E317" s="68">
        <v>0</v>
      </c>
      <c r="F317" s="68">
        <v>0</v>
      </c>
      <c r="G317" s="68">
        <v>2</v>
      </c>
      <c r="H317" s="68">
        <v>0</v>
      </c>
      <c r="I317" s="68">
        <v>0</v>
      </c>
      <c r="J317" s="68">
        <v>0</v>
      </c>
      <c r="K317" s="68">
        <v>0</v>
      </c>
      <c r="L317" s="68">
        <v>0</v>
      </c>
      <c r="M317" s="68">
        <v>0</v>
      </c>
    </row>
    <row r="318" spans="1:13" s="41" customFormat="1" ht="15.75" customHeight="1" thickBot="1">
      <c r="A318" s="159" t="s">
        <v>21</v>
      </c>
      <c r="B318" s="263">
        <v>1</v>
      </c>
      <c r="C318" s="83">
        <v>0</v>
      </c>
      <c r="D318" s="83">
        <v>0</v>
      </c>
      <c r="E318" s="83">
        <v>0</v>
      </c>
      <c r="F318" s="83">
        <v>0</v>
      </c>
      <c r="G318" s="83">
        <v>1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</row>
    <row r="319" spans="1:13" ht="14.25">
      <c r="A319" s="392" t="s">
        <v>635</v>
      </c>
      <c r="B319" s="392"/>
      <c r="C319" s="392"/>
      <c r="D319" s="392"/>
      <c r="E319" s="392"/>
      <c r="F319" s="392"/>
      <c r="G319" s="392"/>
      <c r="H319" s="392"/>
      <c r="I319" s="392"/>
      <c r="J319" s="392"/>
      <c r="K319" s="392"/>
      <c r="L319" s="392"/>
      <c r="M319" s="392"/>
    </row>
  </sheetData>
  <sheetProtection/>
  <mergeCells count="6">
    <mergeCell ref="A1:M1"/>
    <mergeCell ref="A2:M2"/>
    <mergeCell ref="A3:M3"/>
    <mergeCell ref="A4:A5"/>
    <mergeCell ref="C4:M4"/>
    <mergeCell ref="A319:M319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9"/>
  <sheetViews>
    <sheetView zoomScale="85" zoomScaleNormal="85" zoomScalePageLayoutView="0" workbookViewId="0" topLeftCell="A1">
      <selection activeCell="L20" sqref="L20"/>
    </sheetView>
  </sheetViews>
  <sheetFormatPr defaultColWidth="11.421875" defaultRowHeight="12.75"/>
  <cols>
    <col min="1" max="1" width="6.28125" style="149" bestFit="1" customWidth="1"/>
    <col min="2" max="3" width="8.8515625" style="149" bestFit="1" customWidth="1"/>
    <col min="4" max="4" width="9.00390625" style="149" bestFit="1" customWidth="1"/>
    <col min="5" max="5" width="9.421875" style="149" bestFit="1" customWidth="1"/>
    <col min="6" max="6" width="8.8515625" style="149" bestFit="1" customWidth="1"/>
    <col min="7" max="7" width="9.00390625" style="149" bestFit="1" customWidth="1"/>
    <col min="8" max="8" width="9.421875" style="149" bestFit="1" customWidth="1"/>
    <col min="9" max="16384" width="11.421875" style="149" customWidth="1"/>
  </cols>
  <sheetData>
    <row r="1" spans="1:12" ht="18" customHeight="1">
      <c r="A1" s="407" t="s">
        <v>68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8" ht="18" customHeight="1">
      <c r="A2" s="404" t="s">
        <v>528</v>
      </c>
      <c r="B2" s="404"/>
      <c r="C2" s="404"/>
      <c r="D2" s="404"/>
      <c r="E2" s="404"/>
      <c r="F2" s="404"/>
      <c r="G2" s="404"/>
      <c r="H2" s="404"/>
    </row>
    <row r="3" spans="1:8" s="41" customFormat="1" ht="15.75" customHeight="1" thickBot="1">
      <c r="A3" s="405" t="s">
        <v>637</v>
      </c>
      <c r="B3" s="405"/>
      <c r="C3" s="405"/>
      <c r="D3" s="405"/>
      <c r="E3" s="405"/>
      <c r="F3" s="405"/>
      <c r="G3" s="405"/>
      <c r="H3" s="405"/>
    </row>
    <row r="4" spans="1:8" s="41" customFormat="1" ht="15.75" customHeight="1">
      <c r="A4" s="160"/>
      <c r="B4" s="333" t="s">
        <v>134</v>
      </c>
      <c r="C4" s="406" t="s">
        <v>74</v>
      </c>
      <c r="D4" s="406"/>
      <c r="E4" s="406"/>
      <c r="F4" s="406" t="s">
        <v>76</v>
      </c>
      <c r="G4" s="406"/>
      <c r="H4" s="406"/>
    </row>
    <row r="5" spans="1:8" s="41" customFormat="1" ht="15.75" customHeight="1">
      <c r="A5" s="160" t="s">
        <v>507</v>
      </c>
      <c r="B5" s="334"/>
      <c r="C5" s="335" t="s">
        <v>134</v>
      </c>
      <c r="D5" s="335" t="s">
        <v>22</v>
      </c>
      <c r="E5" s="335" t="s">
        <v>21</v>
      </c>
      <c r="F5" s="335" t="s">
        <v>134</v>
      </c>
      <c r="G5" s="335" t="s">
        <v>22</v>
      </c>
      <c r="H5" s="335" t="s">
        <v>21</v>
      </c>
    </row>
    <row r="6" spans="1:8" s="41" customFormat="1" ht="15.75" customHeight="1">
      <c r="A6" s="160"/>
      <c r="B6" s="261">
        <v>38747</v>
      </c>
      <c r="C6" s="98">
        <v>25485</v>
      </c>
      <c r="D6" s="98">
        <v>12905</v>
      </c>
      <c r="E6" s="98">
        <v>12580</v>
      </c>
      <c r="F6" s="98">
        <v>13262</v>
      </c>
      <c r="G6" s="98">
        <v>6627</v>
      </c>
      <c r="H6" s="98">
        <v>6635</v>
      </c>
    </row>
    <row r="7" spans="1:8" s="41" customFormat="1" ht="15.75" customHeight="1">
      <c r="A7" s="160">
        <v>0</v>
      </c>
      <c r="B7" s="262">
        <v>361</v>
      </c>
      <c r="C7" s="68">
        <v>279</v>
      </c>
      <c r="D7" s="68">
        <v>142</v>
      </c>
      <c r="E7" s="68">
        <v>137</v>
      </c>
      <c r="F7" s="68">
        <v>82</v>
      </c>
      <c r="G7" s="68">
        <v>36</v>
      </c>
      <c r="H7" s="68">
        <v>46</v>
      </c>
    </row>
    <row r="8" spans="1:8" s="41" customFormat="1" ht="15.75" customHeight="1">
      <c r="A8" s="160">
        <v>1</v>
      </c>
      <c r="B8" s="262">
        <v>389</v>
      </c>
      <c r="C8" s="68">
        <v>299</v>
      </c>
      <c r="D8" s="68">
        <v>153</v>
      </c>
      <c r="E8" s="68">
        <v>146</v>
      </c>
      <c r="F8" s="68">
        <v>90</v>
      </c>
      <c r="G8" s="68">
        <v>39</v>
      </c>
      <c r="H8" s="68">
        <v>51</v>
      </c>
    </row>
    <row r="9" spans="1:8" s="41" customFormat="1" ht="15.75" customHeight="1">
      <c r="A9" s="160">
        <v>2</v>
      </c>
      <c r="B9" s="262">
        <v>357</v>
      </c>
      <c r="C9" s="68">
        <v>261</v>
      </c>
      <c r="D9" s="68">
        <v>130</v>
      </c>
      <c r="E9" s="68">
        <v>131</v>
      </c>
      <c r="F9" s="68">
        <v>96</v>
      </c>
      <c r="G9" s="68">
        <v>43</v>
      </c>
      <c r="H9" s="68">
        <v>53</v>
      </c>
    </row>
    <row r="10" spans="1:8" s="41" customFormat="1" ht="15.75" customHeight="1">
      <c r="A10" s="160">
        <v>3</v>
      </c>
      <c r="B10" s="262">
        <v>399</v>
      </c>
      <c r="C10" s="68">
        <v>305</v>
      </c>
      <c r="D10" s="68">
        <v>145</v>
      </c>
      <c r="E10" s="68">
        <v>160</v>
      </c>
      <c r="F10" s="68">
        <v>94</v>
      </c>
      <c r="G10" s="68">
        <v>51</v>
      </c>
      <c r="H10" s="68">
        <v>43</v>
      </c>
    </row>
    <row r="11" spans="1:8" s="41" customFormat="1" ht="15.75" customHeight="1">
      <c r="A11" s="160">
        <v>4</v>
      </c>
      <c r="B11" s="262">
        <v>331</v>
      </c>
      <c r="C11" s="68">
        <v>231</v>
      </c>
      <c r="D11" s="68">
        <v>107</v>
      </c>
      <c r="E11" s="68">
        <v>124</v>
      </c>
      <c r="F11" s="68">
        <v>100</v>
      </c>
      <c r="G11" s="68">
        <v>39</v>
      </c>
      <c r="H11" s="68">
        <v>61</v>
      </c>
    </row>
    <row r="12" spans="1:8" s="41" customFormat="1" ht="15.75" customHeight="1">
      <c r="A12" s="160">
        <v>5</v>
      </c>
      <c r="B12" s="262">
        <v>386</v>
      </c>
      <c r="C12" s="68">
        <v>289</v>
      </c>
      <c r="D12" s="68">
        <v>125</v>
      </c>
      <c r="E12" s="68">
        <v>164</v>
      </c>
      <c r="F12" s="68">
        <v>97</v>
      </c>
      <c r="G12" s="68">
        <v>42</v>
      </c>
      <c r="H12" s="68">
        <v>55</v>
      </c>
    </row>
    <row r="13" spans="1:8" s="41" customFormat="1" ht="15.75" customHeight="1">
      <c r="A13" s="160">
        <v>6</v>
      </c>
      <c r="B13" s="262">
        <v>374</v>
      </c>
      <c r="C13" s="68">
        <v>279</v>
      </c>
      <c r="D13" s="68">
        <v>133</v>
      </c>
      <c r="E13" s="68">
        <v>146</v>
      </c>
      <c r="F13" s="68">
        <v>95</v>
      </c>
      <c r="G13" s="68">
        <v>37</v>
      </c>
      <c r="H13" s="68">
        <v>58</v>
      </c>
    </row>
    <row r="14" spans="1:8" s="41" customFormat="1" ht="15.75" customHeight="1">
      <c r="A14" s="160">
        <v>7</v>
      </c>
      <c r="B14" s="262">
        <v>375</v>
      </c>
      <c r="C14" s="68">
        <v>284</v>
      </c>
      <c r="D14" s="68">
        <v>140</v>
      </c>
      <c r="E14" s="68">
        <v>144</v>
      </c>
      <c r="F14" s="68">
        <v>91</v>
      </c>
      <c r="G14" s="68">
        <v>42</v>
      </c>
      <c r="H14" s="68">
        <v>49</v>
      </c>
    </row>
    <row r="15" spans="1:8" s="41" customFormat="1" ht="15.75" customHeight="1">
      <c r="A15" s="160">
        <v>8</v>
      </c>
      <c r="B15" s="262">
        <v>409</v>
      </c>
      <c r="C15" s="68">
        <v>309</v>
      </c>
      <c r="D15" s="68">
        <v>149</v>
      </c>
      <c r="E15" s="68">
        <v>160</v>
      </c>
      <c r="F15" s="68">
        <v>100</v>
      </c>
      <c r="G15" s="68">
        <v>48</v>
      </c>
      <c r="H15" s="68">
        <v>52</v>
      </c>
    </row>
    <row r="16" spans="1:8" s="41" customFormat="1" ht="15.75" customHeight="1">
      <c r="A16" s="160">
        <v>9</v>
      </c>
      <c r="B16" s="262">
        <v>353</v>
      </c>
      <c r="C16" s="68">
        <v>260</v>
      </c>
      <c r="D16" s="68">
        <v>123</v>
      </c>
      <c r="E16" s="68">
        <v>137</v>
      </c>
      <c r="F16" s="68">
        <v>93</v>
      </c>
      <c r="G16" s="68">
        <v>50</v>
      </c>
      <c r="H16" s="68">
        <v>43</v>
      </c>
    </row>
    <row r="17" spans="1:8" s="41" customFormat="1" ht="15.75" customHeight="1">
      <c r="A17" s="160">
        <v>10</v>
      </c>
      <c r="B17" s="262">
        <v>419</v>
      </c>
      <c r="C17" s="68">
        <v>334</v>
      </c>
      <c r="D17" s="68">
        <v>148</v>
      </c>
      <c r="E17" s="68">
        <v>186</v>
      </c>
      <c r="F17" s="68">
        <v>85</v>
      </c>
      <c r="G17" s="68">
        <v>36</v>
      </c>
      <c r="H17" s="68">
        <v>49</v>
      </c>
    </row>
    <row r="18" spans="1:8" s="41" customFormat="1" ht="15.75" customHeight="1">
      <c r="A18" s="160">
        <v>11</v>
      </c>
      <c r="B18" s="262">
        <v>366</v>
      </c>
      <c r="C18" s="68">
        <v>279</v>
      </c>
      <c r="D18" s="68">
        <v>117</v>
      </c>
      <c r="E18" s="68">
        <v>162</v>
      </c>
      <c r="F18" s="68">
        <v>87</v>
      </c>
      <c r="G18" s="68">
        <v>48</v>
      </c>
      <c r="H18" s="68">
        <v>39</v>
      </c>
    </row>
    <row r="19" spans="1:8" s="41" customFormat="1" ht="15.75" customHeight="1">
      <c r="A19" s="160">
        <v>12</v>
      </c>
      <c r="B19" s="262">
        <v>379</v>
      </c>
      <c r="C19" s="68">
        <v>278</v>
      </c>
      <c r="D19" s="68">
        <v>132</v>
      </c>
      <c r="E19" s="68">
        <v>146</v>
      </c>
      <c r="F19" s="68">
        <v>101</v>
      </c>
      <c r="G19" s="68">
        <v>44</v>
      </c>
      <c r="H19" s="68">
        <v>57</v>
      </c>
    </row>
    <row r="20" spans="1:8" s="41" customFormat="1" ht="15.75" customHeight="1">
      <c r="A20" s="160">
        <v>13</v>
      </c>
      <c r="B20" s="262">
        <v>385</v>
      </c>
      <c r="C20" s="68">
        <v>307</v>
      </c>
      <c r="D20" s="68">
        <v>148</v>
      </c>
      <c r="E20" s="68">
        <v>159</v>
      </c>
      <c r="F20" s="68">
        <v>78</v>
      </c>
      <c r="G20" s="68">
        <v>42</v>
      </c>
      <c r="H20" s="68">
        <v>36</v>
      </c>
    </row>
    <row r="21" spans="1:8" s="41" customFormat="1" ht="15.75" customHeight="1">
      <c r="A21" s="160">
        <v>14</v>
      </c>
      <c r="B21" s="262">
        <v>395</v>
      </c>
      <c r="C21" s="68">
        <v>290</v>
      </c>
      <c r="D21" s="68">
        <v>149</v>
      </c>
      <c r="E21" s="68">
        <v>141</v>
      </c>
      <c r="F21" s="68">
        <v>105</v>
      </c>
      <c r="G21" s="68">
        <v>53</v>
      </c>
      <c r="H21" s="68">
        <v>52</v>
      </c>
    </row>
    <row r="22" spans="1:8" s="41" customFormat="1" ht="15.75" customHeight="1">
      <c r="A22" s="160">
        <v>15</v>
      </c>
      <c r="B22" s="262">
        <v>404</v>
      </c>
      <c r="C22" s="68">
        <v>305</v>
      </c>
      <c r="D22" s="68">
        <v>154</v>
      </c>
      <c r="E22" s="68">
        <v>151</v>
      </c>
      <c r="F22" s="68">
        <v>99</v>
      </c>
      <c r="G22" s="68">
        <v>44</v>
      </c>
      <c r="H22" s="68">
        <v>55</v>
      </c>
    </row>
    <row r="23" spans="1:8" s="41" customFormat="1" ht="15.75" customHeight="1">
      <c r="A23" s="160">
        <v>16</v>
      </c>
      <c r="B23" s="262">
        <v>355</v>
      </c>
      <c r="C23" s="68">
        <v>244</v>
      </c>
      <c r="D23" s="68">
        <v>121</v>
      </c>
      <c r="E23" s="68">
        <v>123</v>
      </c>
      <c r="F23" s="68">
        <v>111</v>
      </c>
      <c r="G23" s="68">
        <v>53</v>
      </c>
      <c r="H23" s="68">
        <v>58</v>
      </c>
    </row>
    <row r="24" spans="1:8" s="41" customFormat="1" ht="15.75" customHeight="1">
      <c r="A24" s="160">
        <v>17</v>
      </c>
      <c r="B24" s="262">
        <v>403</v>
      </c>
      <c r="C24" s="68">
        <v>321</v>
      </c>
      <c r="D24" s="68">
        <v>163</v>
      </c>
      <c r="E24" s="68">
        <v>158</v>
      </c>
      <c r="F24" s="68">
        <v>82</v>
      </c>
      <c r="G24" s="68">
        <v>38</v>
      </c>
      <c r="H24" s="68">
        <v>44</v>
      </c>
    </row>
    <row r="25" spans="1:8" s="41" customFormat="1" ht="15.75" customHeight="1">
      <c r="A25" s="160">
        <v>18</v>
      </c>
      <c r="B25" s="262">
        <v>393</v>
      </c>
      <c r="C25" s="68">
        <v>303</v>
      </c>
      <c r="D25" s="68">
        <v>143</v>
      </c>
      <c r="E25" s="68">
        <v>160</v>
      </c>
      <c r="F25" s="68">
        <v>90</v>
      </c>
      <c r="G25" s="68">
        <v>39</v>
      </c>
      <c r="H25" s="68">
        <v>51</v>
      </c>
    </row>
    <row r="26" spans="1:8" s="41" customFormat="1" ht="15.75" customHeight="1">
      <c r="A26" s="160">
        <v>19</v>
      </c>
      <c r="B26" s="262">
        <v>421</v>
      </c>
      <c r="C26" s="68">
        <v>325</v>
      </c>
      <c r="D26" s="68">
        <v>155</v>
      </c>
      <c r="E26" s="68">
        <v>170</v>
      </c>
      <c r="F26" s="68">
        <v>96</v>
      </c>
      <c r="G26" s="68">
        <v>49</v>
      </c>
      <c r="H26" s="68">
        <v>47</v>
      </c>
    </row>
    <row r="27" spans="1:8" s="41" customFormat="1" ht="15.75" customHeight="1">
      <c r="A27" s="160">
        <v>20</v>
      </c>
      <c r="B27" s="262">
        <v>413</v>
      </c>
      <c r="C27" s="68">
        <v>318</v>
      </c>
      <c r="D27" s="68">
        <v>174</v>
      </c>
      <c r="E27" s="68">
        <v>144</v>
      </c>
      <c r="F27" s="68">
        <v>95</v>
      </c>
      <c r="G27" s="68">
        <v>48</v>
      </c>
      <c r="H27" s="68">
        <v>47</v>
      </c>
    </row>
    <row r="28" spans="1:8" s="41" customFormat="1" ht="15.75" customHeight="1">
      <c r="A28" s="160">
        <v>21</v>
      </c>
      <c r="B28" s="262">
        <v>410</v>
      </c>
      <c r="C28" s="68">
        <v>311</v>
      </c>
      <c r="D28" s="68">
        <v>159</v>
      </c>
      <c r="E28" s="68">
        <v>152</v>
      </c>
      <c r="F28" s="68">
        <v>99</v>
      </c>
      <c r="G28" s="68">
        <v>55</v>
      </c>
      <c r="H28" s="68">
        <v>44</v>
      </c>
    </row>
    <row r="29" spans="1:8" s="41" customFormat="1" ht="15.75" customHeight="1">
      <c r="A29" s="160">
        <v>22</v>
      </c>
      <c r="B29" s="262">
        <v>467</v>
      </c>
      <c r="C29" s="68">
        <v>365</v>
      </c>
      <c r="D29" s="68">
        <v>183</v>
      </c>
      <c r="E29" s="68">
        <v>182</v>
      </c>
      <c r="F29" s="68">
        <v>102</v>
      </c>
      <c r="G29" s="68">
        <v>49</v>
      </c>
      <c r="H29" s="68">
        <v>53</v>
      </c>
    </row>
    <row r="30" spans="1:8" s="41" customFormat="1" ht="15.75" customHeight="1">
      <c r="A30" s="160">
        <v>23</v>
      </c>
      <c r="B30" s="262">
        <v>444</v>
      </c>
      <c r="C30" s="68">
        <v>337</v>
      </c>
      <c r="D30" s="68">
        <v>169</v>
      </c>
      <c r="E30" s="68">
        <v>168</v>
      </c>
      <c r="F30" s="68">
        <v>107</v>
      </c>
      <c r="G30" s="68">
        <v>49</v>
      </c>
      <c r="H30" s="68">
        <v>58</v>
      </c>
    </row>
    <row r="31" spans="1:8" s="41" customFormat="1" ht="15.75" customHeight="1">
      <c r="A31" s="160">
        <v>24</v>
      </c>
      <c r="B31" s="262">
        <v>477</v>
      </c>
      <c r="C31" s="68">
        <v>362</v>
      </c>
      <c r="D31" s="68">
        <v>170</v>
      </c>
      <c r="E31" s="68">
        <v>192</v>
      </c>
      <c r="F31" s="68">
        <v>115</v>
      </c>
      <c r="G31" s="68">
        <v>61</v>
      </c>
      <c r="H31" s="68">
        <v>54</v>
      </c>
    </row>
    <row r="32" spans="1:8" s="41" customFormat="1" ht="15.75" customHeight="1">
      <c r="A32" s="160">
        <v>25</v>
      </c>
      <c r="B32" s="262">
        <v>427</v>
      </c>
      <c r="C32" s="68">
        <v>315</v>
      </c>
      <c r="D32" s="68">
        <v>144</v>
      </c>
      <c r="E32" s="68">
        <v>171</v>
      </c>
      <c r="F32" s="68">
        <v>112</v>
      </c>
      <c r="G32" s="68">
        <v>50</v>
      </c>
      <c r="H32" s="68">
        <v>62</v>
      </c>
    </row>
    <row r="33" spans="1:8" s="41" customFormat="1" ht="15.75" customHeight="1">
      <c r="A33" s="160">
        <v>26</v>
      </c>
      <c r="B33" s="262">
        <v>483</v>
      </c>
      <c r="C33" s="68">
        <v>362</v>
      </c>
      <c r="D33" s="68">
        <v>167</v>
      </c>
      <c r="E33" s="68">
        <v>195</v>
      </c>
      <c r="F33" s="68">
        <v>121</v>
      </c>
      <c r="G33" s="68">
        <v>70</v>
      </c>
      <c r="H33" s="68">
        <v>51</v>
      </c>
    </row>
    <row r="34" spans="1:8" s="41" customFormat="1" ht="15.75" customHeight="1">
      <c r="A34" s="160">
        <v>27</v>
      </c>
      <c r="B34" s="262">
        <v>446</v>
      </c>
      <c r="C34" s="68">
        <v>305</v>
      </c>
      <c r="D34" s="68">
        <v>159</v>
      </c>
      <c r="E34" s="68">
        <v>146</v>
      </c>
      <c r="F34" s="68">
        <v>141</v>
      </c>
      <c r="G34" s="68">
        <v>76</v>
      </c>
      <c r="H34" s="68">
        <v>65</v>
      </c>
    </row>
    <row r="35" spans="1:8" s="41" customFormat="1" ht="15.75" customHeight="1">
      <c r="A35" s="160">
        <v>28</v>
      </c>
      <c r="B35" s="262">
        <v>473</v>
      </c>
      <c r="C35" s="68">
        <v>337</v>
      </c>
      <c r="D35" s="68">
        <v>159</v>
      </c>
      <c r="E35" s="68">
        <v>178</v>
      </c>
      <c r="F35" s="68">
        <v>136</v>
      </c>
      <c r="G35" s="68">
        <v>70</v>
      </c>
      <c r="H35" s="68">
        <v>66</v>
      </c>
    </row>
    <row r="36" spans="1:8" s="41" customFormat="1" ht="15.75" customHeight="1">
      <c r="A36" s="160">
        <v>29</v>
      </c>
      <c r="B36" s="262">
        <v>469</v>
      </c>
      <c r="C36" s="68">
        <v>308</v>
      </c>
      <c r="D36" s="68">
        <v>151</v>
      </c>
      <c r="E36" s="68">
        <v>157</v>
      </c>
      <c r="F36" s="68">
        <v>161</v>
      </c>
      <c r="G36" s="68">
        <v>95</v>
      </c>
      <c r="H36" s="68">
        <v>66</v>
      </c>
    </row>
    <row r="37" spans="1:8" s="41" customFormat="1" ht="15.75" customHeight="1">
      <c r="A37" s="160">
        <v>30</v>
      </c>
      <c r="B37" s="262">
        <v>487</v>
      </c>
      <c r="C37" s="68">
        <v>300</v>
      </c>
      <c r="D37" s="68">
        <v>125</v>
      </c>
      <c r="E37" s="68">
        <v>175</v>
      </c>
      <c r="F37" s="68">
        <v>187</v>
      </c>
      <c r="G37" s="68">
        <v>103</v>
      </c>
      <c r="H37" s="68">
        <v>84</v>
      </c>
    </row>
    <row r="38" spans="1:8" s="41" customFormat="1" ht="15.75" customHeight="1">
      <c r="A38" s="160">
        <v>31</v>
      </c>
      <c r="B38" s="262">
        <v>498</v>
      </c>
      <c r="C38" s="68">
        <v>315</v>
      </c>
      <c r="D38" s="68">
        <v>135</v>
      </c>
      <c r="E38" s="68">
        <v>180</v>
      </c>
      <c r="F38" s="68">
        <v>183</v>
      </c>
      <c r="G38" s="68">
        <v>90</v>
      </c>
      <c r="H38" s="68">
        <v>93</v>
      </c>
    </row>
    <row r="39" spans="1:8" s="41" customFormat="1" ht="15.75" customHeight="1">
      <c r="A39" s="160">
        <v>32</v>
      </c>
      <c r="B39" s="262">
        <v>489</v>
      </c>
      <c r="C39" s="68">
        <v>300</v>
      </c>
      <c r="D39" s="68">
        <v>143</v>
      </c>
      <c r="E39" s="68">
        <v>157</v>
      </c>
      <c r="F39" s="68">
        <v>189</v>
      </c>
      <c r="G39" s="68">
        <v>118</v>
      </c>
      <c r="H39" s="68">
        <v>71</v>
      </c>
    </row>
    <row r="40" spans="1:8" s="41" customFormat="1" ht="15.75" customHeight="1">
      <c r="A40" s="160">
        <v>33</v>
      </c>
      <c r="B40" s="262">
        <v>477</v>
      </c>
      <c r="C40" s="68">
        <v>277</v>
      </c>
      <c r="D40" s="68">
        <v>141</v>
      </c>
      <c r="E40" s="68">
        <v>136</v>
      </c>
      <c r="F40" s="68">
        <v>200</v>
      </c>
      <c r="G40" s="68">
        <v>106</v>
      </c>
      <c r="H40" s="68">
        <v>94</v>
      </c>
    </row>
    <row r="41" spans="1:8" s="41" customFormat="1" ht="15.75" customHeight="1">
      <c r="A41" s="160">
        <v>34</v>
      </c>
      <c r="B41" s="262">
        <v>484</v>
      </c>
      <c r="C41" s="68">
        <v>298</v>
      </c>
      <c r="D41" s="68">
        <v>141</v>
      </c>
      <c r="E41" s="68">
        <v>157</v>
      </c>
      <c r="F41" s="68">
        <v>186</v>
      </c>
      <c r="G41" s="68">
        <v>104</v>
      </c>
      <c r="H41" s="68">
        <v>82</v>
      </c>
    </row>
    <row r="42" spans="1:8" s="41" customFormat="1" ht="15.75" customHeight="1">
      <c r="A42" s="160">
        <v>35</v>
      </c>
      <c r="B42" s="262">
        <v>516</v>
      </c>
      <c r="C42" s="68">
        <v>300</v>
      </c>
      <c r="D42" s="68">
        <v>146</v>
      </c>
      <c r="E42" s="68">
        <v>154</v>
      </c>
      <c r="F42" s="68">
        <v>216</v>
      </c>
      <c r="G42" s="68">
        <v>120</v>
      </c>
      <c r="H42" s="68">
        <v>96</v>
      </c>
    </row>
    <row r="43" spans="1:8" s="41" customFormat="1" ht="15.75" customHeight="1">
      <c r="A43" s="160">
        <v>36</v>
      </c>
      <c r="B43" s="262">
        <v>471</v>
      </c>
      <c r="C43" s="68">
        <v>272</v>
      </c>
      <c r="D43" s="68">
        <v>135</v>
      </c>
      <c r="E43" s="68">
        <v>137</v>
      </c>
      <c r="F43" s="68">
        <v>199</v>
      </c>
      <c r="G43" s="68">
        <v>116</v>
      </c>
      <c r="H43" s="68">
        <v>83</v>
      </c>
    </row>
    <row r="44" spans="1:8" s="41" customFormat="1" ht="15.75" customHeight="1">
      <c r="A44" s="160">
        <v>37</v>
      </c>
      <c r="B44" s="262">
        <v>526</v>
      </c>
      <c r="C44" s="68">
        <v>310</v>
      </c>
      <c r="D44" s="68">
        <v>141</v>
      </c>
      <c r="E44" s="68">
        <v>169</v>
      </c>
      <c r="F44" s="68">
        <v>216</v>
      </c>
      <c r="G44" s="68">
        <v>116</v>
      </c>
      <c r="H44" s="68">
        <v>100</v>
      </c>
    </row>
    <row r="45" spans="1:8" s="41" customFormat="1" ht="15.75" customHeight="1">
      <c r="A45" s="160">
        <v>38</v>
      </c>
      <c r="B45" s="262">
        <v>498</v>
      </c>
      <c r="C45" s="68">
        <v>285</v>
      </c>
      <c r="D45" s="68">
        <v>129</v>
      </c>
      <c r="E45" s="68">
        <v>156</v>
      </c>
      <c r="F45" s="68">
        <v>213</v>
      </c>
      <c r="G45" s="68">
        <v>105</v>
      </c>
      <c r="H45" s="68">
        <v>108</v>
      </c>
    </row>
    <row r="46" spans="1:8" s="41" customFormat="1" ht="15.75" customHeight="1">
      <c r="A46" s="160">
        <v>39</v>
      </c>
      <c r="B46" s="262">
        <v>521</v>
      </c>
      <c r="C46" s="68">
        <v>299</v>
      </c>
      <c r="D46" s="68">
        <v>128</v>
      </c>
      <c r="E46" s="68">
        <v>171</v>
      </c>
      <c r="F46" s="68">
        <v>222</v>
      </c>
      <c r="G46" s="68">
        <v>127</v>
      </c>
      <c r="H46" s="68">
        <v>95</v>
      </c>
    </row>
    <row r="47" spans="1:8" s="41" customFormat="1" ht="15.75" customHeight="1">
      <c r="A47" s="160">
        <v>40</v>
      </c>
      <c r="B47" s="262">
        <v>505</v>
      </c>
      <c r="C47" s="68">
        <v>279</v>
      </c>
      <c r="D47" s="68">
        <v>136</v>
      </c>
      <c r="E47" s="68">
        <v>143</v>
      </c>
      <c r="F47" s="68">
        <v>226</v>
      </c>
      <c r="G47" s="68">
        <v>119</v>
      </c>
      <c r="H47" s="68">
        <v>107</v>
      </c>
    </row>
    <row r="48" spans="1:8" s="41" customFormat="1" ht="15.75" customHeight="1">
      <c r="A48" s="160">
        <v>41</v>
      </c>
      <c r="B48" s="262">
        <v>494</v>
      </c>
      <c r="C48" s="68">
        <v>259</v>
      </c>
      <c r="D48" s="68">
        <v>128</v>
      </c>
      <c r="E48" s="68">
        <v>131</v>
      </c>
      <c r="F48" s="68">
        <v>235</v>
      </c>
      <c r="G48" s="68">
        <v>127</v>
      </c>
      <c r="H48" s="68">
        <v>108</v>
      </c>
    </row>
    <row r="49" spans="1:8" s="41" customFormat="1" ht="15.75" customHeight="1">
      <c r="A49" s="160">
        <v>42</v>
      </c>
      <c r="B49" s="262">
        <v>517</v>
      </c>
      <c r="C49" s="68">
        <v>275</v>
      </c>
      <c r="D49" s="68">
        <v>129</v>
      </c>
      <c r="E49" s="68">
        <v>146</v>
      </c>
      <c r="F49" s="68">
        <v>242</v>
      </c>
      <c r="G49" s="68">
        <v>118</v>
      </c>
      <c r="H49" s="68">
        <v>124</v>
      </c>
    </row>
    <row r="50" spans="1:8" s="41" customFormat="1" ht="15.75" customHeight="1">
      <c r="A50" s="160">
        <v>43</v>
      </c>
      <c r="B50" s="262">
        <v>520</v>
      </c>
      <c r="C50" s="68">
        <v>306</v>
      </c>
      <c r="D50" s="68">
        <v>137</v>
      </c>
      <c r="E50" s="68">
        <v>169</v>
      </c>
      <c r="F50" s="68">
        <v>214</v>
      </c>
      <c r="G50" s="68">
        <v>112</v>
      </c>
      <c r="H50" s="68">
        <v>102</v>
      </c>
    </row>
    <row r="51" spans="1:8" s="41" customFormat="1" ht="15.75" customHeight="1">
      <c r="A51" s="160">
        <v>44</v>
      </c>
      <c r="B51" s="262">
        <v>526</v>
      </c>
      <c r="C51" s="68">
        <v>281</v>
      </c>
      <c r="D51" s="68">
        <v>145</v>
      </c>
      <c r="E51" s="68">
        <v>136</v>
      </c>
      <c r="F51" s="68">
        <v>245</v>
      </c>
      <c r="G51" s="68">
        <v>137</v>
      </c>
      <c r="H51" s="68">
        <v>108</v>
      </c>
    </row>
    <row r="52" spans="1:8" s="41" customFormat="1" ht="15.75" customHeight="1">
      <c r="A52" s="160">
        <v>45</v>
      </c>
      <c r="B52" s="262">
        <v>530</v>
      </c>
      <c r="C52" s="68">
        <v>283</v>
      </c>
      <c r="D52" s="68">
        <v>140</v>
      </c>
      <c r="E52" s="68">
        <v>143</v>
      </c>
      <c r="F52" s="68">
        <v>247</v>
      </c>
      <c r="G52" s="68">
        <v>120</v>
      </c>
      <c r="H52" s="68">
        <v>127</v>
      </c>
    </row>
    <row r="53" spans="1:8" s="41" customFormat="1" ht="15.75" customHeight="1">
      <c r="A53" s="160">
        <v>46</v>
      </c>
      <c r="B53" s="262">
        <v>593</v>
      </c>
      <c r="C53" s="68">
        <v>336</v>
      </c>
      <c r="D53" s="68">
        <v>176</v>
      </c>
      <c r="E53" s="68">
        <v>160</v>
      </c>
      <c r="F53" s="68">
        <v>257</v>
      </c>
      <c r="G53" s="68">
        <v>132</v>
      </c>
      <c r="H53" s="68">
        <v>125</v>
      </c>
    </row>
    <row r="54" spans="1:8" s="41" customFormat="1" ht="15.75" customHeight="1">
      <c r="A54" s="160">
        <v>47</v>
      </c>
      <c r="B54" s="262">
        <v>577</v>
      </c>
      <c r="C54" s="68">
        <v>308</v>
      </c>
      <c r="D54" s="68">
        <v>165</v>
      </c>
      <c r="E54" s="68">
        <v>143</v>
      </c>
      <c r="F54" s="68">
        <v>269</v>
      </c>
      <c r="G54" s="68">
        <v>143</v>
      </c>
      <c r="H54" s="68">
        <v>126</v>
      </c>
    </row>
    <row r="55" spans="1:8" s="41" customFormat="1" ht="15.75" customHeight="1">
      <c r="A55" s="160">
        <v>48</v>
      </c>
      <c r="B55" s="262">
        <v>586</v>
      </c>
      <c r="C55" s="68">
        <v>303</v>
      </c>
      <c r="D55" s="68">
        <v>146</v>
      </c>
      <c r="E55" s="68">
        <v>157</v>
      </c>
      <c r="F55" s="68">
        <v>283</v>
      </c>
      <c r="G55" s="68">
        <v>152</v>
      </c>
      <c r="H55" s="68">
        <v>131</v>
      </c>
    </row>
    <row r="56" spans="1:8" s="41" customFormat="1" ht="15.75" customHeight="1">
      <c r="A56" s="160">
        <v>49</v>
      </c>
      <c r="B56" s="262">
        <v>651</v>
      </c>
      <c r="C56" s="68">
        <v>371</v>
      </c>
      <c r="D56" s="68">
        <v>166</v>
      </c>
      <c r="E56" s="68">
        <v>205</v>
      </c>
      <c r="F56" s="68">
        <v>280</v>
      </c>
      <c r="G56" s="68">
        <v>128</v>
      </c>
      <c r="H56" s="68">
        <v>152</v>
      </c>
    </row>
    <row r="57" spans="1:8" s="41" customFormat="1" ht="15.75" customHeight="1">
      <c r="A57" s="160">
        <v>50</v>
      </c>
      <c r="B57" s="262">
        <v>644</v>
      </c>
      <c r="C57" s="68">
        <v>391</v>
      </c>
      <c r="D57" s="68">
        <v>186</v>
      </c>
      <c r="E57" s="68">
        <v>205</v>
      </c>
      <c r="F57" s="68">
        <v>253</v>
      </c>
      <c r="G57" s="68">
        <v>125</v>
      </c>
      <c r="H57" s="68">
        <v>128</v>
      </c>
    </row>
    <row r="58" spans="1:8" s="41" customFormat="1" ht="15.75" customHeight="1">
      <c r="A58" s="160">
        <v>51</v>
      </c>
      <c r="B58" s="262">
        <v>705</v>
      </c>
      <c r="C58" s="68">
        <v>410</v>
      </c>
      <c r="D58" s="68">
        <v>220</v>
      </c>
      <c r="E58" s="68">
        <v>190</v>
      </c>
      <c r="F58" s="68">
        <v>295</v>
      </c>
      <c r="G58" s="68">
        <v>157</v>
      </c>
      <c r="H58" s="68">
        <v>138</v>
      </c>
    </row>
    <row r="59" spans="1:8" s="41" customFormat="1" ht="15.75" customHeight="1">
      <c r="A59" s="160">
        <v>52</v>
      </c>
      <c r="B59" s="262">
        <v>649</v>
      </c>
      <c r="C59" s="68">
        <v>378</v>
      </c>
      <c r="D59" s="68">
        <v>192</v>
      </c>
      <c r="E59" s="68">
        <v>186</v>
      </c>
      <c r="F59" s="68">
        <v>271</v>
      </c>
      <c r="G59" s="68">
        <v>140</v>
      </c>
      <c r="H59" s="68">
        <v>131</v>
      </c>
    </row>
    <row r="60" spans="1:8" s="41" customFormat="1" ht="15.75" customHeight="1">
      <c r="A60" s="160">
        <v>53</v>
      </c>
      <c r="B60" s="262">
        <v>625</v>
      </c>
      <c r="C60" s="68">
        <v>359</v>
      </c>
      <c r="D60" s="68">
        <v>182</v>
      </c>
      <c r="E60" s="68">
        <v>177</v>
      </c>
      <c r="F60" s="68">
        <v>266</v>
      </c>
      <c r="G60" s="68">
        <v>147</v>
      </c>
      <c r="H60" s="68">
        <v>119</v>
      </c>
    </row>
    <row r="61" spans="1:8" s="41" customFormat="1" ht="15.75" customHeight="1">
      <c r="A61" s="160">
        <v>54</v>
      </c>
      <c r="B61" s="262">
        <v>622</v>
      </c>
      <c r="C61" s="68">
        <v>354</v>
      </c>
      <c r="D61" s="68">
        <v>175</v>
      </c>
      <c r="E61" s="68">
        <v>179</v>
      </c>
      <c r="F61" s="68">
        <v>268</v>
      </c>
      <c r="G61" s="68">
        <v>122</v>
      </c>
      <c r="H61" s="68">
        <v>146</v>
      </c>
    </row>
    <row r="62" spans="1:8" s="41" customFormat="1" ht="15.75" customHeight="1">
      <c r="A62" s="160">
        <v>55</v>
      </c>
      <c r="B62" s="262">
        <v>673</v>
      </c>
      <c r="C62" s="68">
        <v>358</v>
      </c>
      <c r="D62" s="68">
        <v>182</v>
      </c>
      <c r="E62" s="68">
        <v>176</v>
      </c>
      <c r="F62" s="68">
        <v>315</v>
      </c>
      <c r="G62" s="68">
        <v>169</v>
      </c>
      <c r="H62" s="68">
        <v>146</v>
      </c>
    </row>
    <row r="63" spans="1:8" s="41" customFormat="1" ht="15.75" customHeight="1">
      <c r="A63" s="160">
        <v>56</v>
      </c>
      <c r="B63" s="262">
        <v>641</v>
      </c>
      <c r="C63" s="68">
        <v>382</v>
      </c>
      <c r="D63" s="68">
        <v>200</v>
      </c>
      <c r="E63" s="68">
        <v>182</v>
      </c>
      <c r="F63" s="68">
        <v>259</v>
      </c>
      <c r="G63" s="68">
        <v>135</v>
      </c>
      <c r="H63" s="68">
        <v>124</v>
      </c>
    </row>
    <row r="64" spans="1:8" s="41" customFormat="1" ht="15.75" customHeight="1">
      <c r="A64" s="160">
        <v>57</v>
      </c>
      <c r="B64" s="262">
        <v>628</v>
      </c>
      <c r="C64" s="68">
        <v>361</v>
      </c>
      <c r="D64" s="68">
        <v>180</v>
      </c>
      <c r="E64" s="68">
        <v>181</v>
      </c>
      <c r="F64" s="68">
        <v>267</v>
      </c>
      <c r="G64" s="68">
        <v>123</v>
      </c>
      <c r="H64" s="68">
        <v>144</v>
      </c>
    </row>
    <row r="65" spans="1:8" s="41" customFormat="1" ht="15.75" customHeight="1">
      <c r="A65" s="160">
        <v>58</v>
      </c>
      <c r="B65" s="262">
        <v>602</v>
      </c>
      <c r="C65" s="68">
        <v>357</v>
      </c>
      <c r="D65" s="68">
        <v>176</v>
      </c>
      <c r="E65" s="68">
        <v>181</v>
      </c>
      <c r="F65" s="68">
        <v>245</v>
      </c>
      <c r="G65" s="68">
        <v>140</v>
      </c>
      <c r="H65" s="68">
        <v>105</v>
      </c>
    </row>
    <row r="66" spans="1:8" s="41" customFormat="1" ht="15.75" customHeight="1">
      <c r="A66" s="160">
        <v>59</v>
      </c>
      <c r="B66" s="262">
        <v>605</v>
      </c>
      <c r="C66" s="68">
        <v>374</v>
      </c>
      <c r="D66" s="68">
        <v>190</v>
      </c>
      <c r="E66" s="68">
        <v>184</v>
      </c>
      <c r="F66" s="68">
        <v>231</v>
      </c>
      <c r="G66" s="68">
        <v>113</v>
      </c>
      <c r="H66" s="68">
        <v>118</v>
      </c>
    </row>
    <row r="67" spans="1:8" s="41" customFormat="1" ht="15.75" customHeight="1">
      <c r="A67" s="160">
        <v>60</v>
      </c>
      <c r="B67" s="262">
        <v>576</v>
      </c>
      <c r="C67" s="68">
        <v>346</v>
      </c>
      <c r="D67" s="68">
        <v>182</v>
      </c>
      <c r="E67" s="68">
        <v>164</v>
      </c>
      <c r="F67" s="68">
        <v>230</v>
      </c>
      <c r="G67" s="68">
        <v>115</v>
      </c>
      <c r="H67" s="68">
        <v>115</v>
      </c>
    </row>
    <row r="68" spans="1:8" s="41" customFormat="1" ht="15.75" customHeight="1">
      <c r="A68" s="160">
        <v>61</v>
      </c>
      <c r="B68" s="262">
        <v>537</v>
      </c>
      <c r="C68" s="68">
        <v>352</v>
      </c>
      <c r="D68" s="68">
        <v>186</v>
      </c>
      <c r="E68" s="68">
        <v>166</v>
      </c>
      <c r="F68" s="68">
        <v>185</v>
      </c>
      <c r="G68" s="68">
        <v>93</v>
      </c>
      <c r="H68" s="68">
        <v>92</v>
      </c>
    </row>
    <row r="69" spans="1:8" s="41" customFormat="1" ht="15.75" customHeight="1">
      <c r="A69" s="160">
        <v>62</v>
      </c>
      <c r="B69" s="262">
        <v>536</v>
      </c>
      <c r="C69" s="68">
        <v>348</v>
      </c>
      <c r="D69" s="68">
        <v>177</v>
      </c>
      <c r="E69" s="68">
        <v>171</v>
      </c>
      <c r="F69" s="68">
        <v>188</v>
      </c>
      <c r="G69" s="68">
        <v>96</v>
      </c>
      <c r="H69" s="68">
        <v>92</v>
      </c>
    </row>
    <row r="70" spans="1:8" s="41" customFormat="1" ht="15.75" customHeight="1">
      <c r="A70" s="160">
        <v>63</v>
      </c>
      <c r="B70" s="262">
        <v>510</v>
      </c>
      <c r="C70" s="68">
        <v>330</v>
      </c>
      <c r="D70" s="68">
        <v>168</v>
      </c>
      <c r="E70" s="68">
        <v>162</v>
      </c>
      <c r="F70" s="68">
        <v>180</v>
      </c>
      <c r="G70" s="68">
        <v>85</v>
      </c>
      <c r="H70" s="68">
        <v>95</v>
      </c>
    </row>
    <row r="71" spans="1:8" s="41" customFormat="1" ht="15.75" customHeight="1">
      <c r="A71" s="160">
        <v>64</v>
      </c>
      <c r="B71" s="262">
        <v>478</v>
      </c>
      <c r="C71" s="68">
        <v>298</v>
      </c>
      <c r="D71" s="68">
        <v>162</v>
      </c>
      <c r="E71" s="68">
        <v>136</v>
      </c>
      <c r="F71" s="68">
        <v>180</v>
      </c>
      <c r="G71" s="68">
        <v>75</v>
      </c>
      <c r="H71" s="68">
        <v>105</v>
      </c>
    </row>
    <row r="72" spans="1:8" s="41" customFormat="1" ht="15.75" customHeight="1">
      <c r="A72" s="160">
        <v>65</v>
      </c>
      <c r="B72" s="262">
        <v>470</v>
      </c>
      <c r="C72" s="68">
        <v>299</v>
      </c>
      <c r="D72" s="68">
        <v>154</v>
      </c>
      <c r="E72" s="68">
        <v>145</v>
      </c>
      <c r="F72" s="68">
        <v>171</v>
      </c>
      <c r="G72" s="68">
        <v>86</v>
      </c>
      <c r="H72" s="68">
        <v>85</v>
      </c>
    </row>
    <row r="73" spans="1:8" s="41" customFormat="1" ht="15.75" customHeight="1">
      <c r="A73" s="160">
        <v>66</v>
      </c>
      <c r="B73" s="262">
        <v>434</v>
      </c>
      <c r="C73" s="68">
        <v>285</v>
      </c>
      <c r="D73" s="68">
        <v>143</v>
      </c>
      <c r="E73" s="68">
        <v>142</v>
      </c>
      <c r="F73" s="68">
        <v>149</v>
      </c>
      <c r="G73" s="68">
        <v>71</v>
      </c>
      <c r="H73" s="68">
        <v>78</v>
      </c>
    </row>
    <row r="74" spans="1:8" s="41" customFormat="1" ht="15.75" customHeight="1">
      <c r="A74" s="160">
        <v>67</v>
      </c>
      <c r="B74" s="262">
        <v>427</v>
      </c>
      <c r="C74" s="68">
        <v>304</v>
      </c>
      <c r="D74" s="68">
        <v>186</v>
      </c>
      <c r="E74" s="68">
        <v>118</v>
      </c>
      <c r="F74" s="68">
        <v>123</v>
      </c>
      <c r="G74" s="68">
        <v>58</v>
      </c>
      <c r="H74" s="68">
        <v>65</v>
      </c>
    </row>
    <row r="75" spans="1:8" s="41" customFormat="1" ht="15.75" customHeight="1">
      <c r="A75" s="160">
        <v>68</v>
      </c>
      <c r="B75" s="262">
        <v>441</v>
      </c>
      <c r="C75" s="68">
        <v>295</v>
      </c>
      <c r="D75" s="68">
        <v>148</v>
      </c>
      <c r="E75" s="68">
        <v>147</v>
      </c>
      <c r="F75" s="68">
        <v>146</v>
      </c>
      <c r="G75" s="68">
        <v>66</v>
      </c>
      <c r="H75" s="68">
        <v>80</v>
      </c>
    </row>
    <row r="76" spans="1:8" s="41" customFormat="1" ht="15.75" customHeight="1">
      <c r="A76" s="160">
        <v>69</v>
      </c>
      <c r="B76" s="262">
        <v>402</v>
      </c>
      <c r="C76" s="68">
        <v>265</v>
      </c>
      <c r="D76" s="68">
        <v>154</v>
      </c>
      <c r="E76" s="68">
        <v>111</v>
      </c>
      <c r="F76" s="68">
        <v>137</v>
      </c>
      <c r="G76" s="68">
        <v>52</v>
      </c>
      <c r="H76" s="68">
        <v>85</v>
      </c>
    </row>
    <row r="77" spans="1:8" s="41" customFormat="1" ht="15.75" customHeight="1">
      <c r="A77" s="160">
        <v>70</v>
      </c>
      <c r="B77" s="262">
        <v>399</v>
      </c>
      <c r="C77" s="68">
        <v>277</v>
      </c>
      <c r="D77" s="68">
        <v>146</v>
      </c>
      <c r="E77" s="68">
        <v>131</v>
      </c>
      <c r="F77" s="68">
        <v>122</v>
      </c>
      <c r="G77" s="68">
        <v>49</v>
      </c>
      <c r="H77" s="68">
        <v>73</v>
      </c>
    </row>
    <row r="78" spans="1:8" s="41" customFormat="1" ht="15.75" customHeight="1">
      <c r="A78" s="160">
        <v>71</v>
      </c>
      <c r="B78" s="262">
        <v>432</v>
      </c>
      <c r="C78" s="68">
        <v>269</v>
      </c>
      <c r="D78" s="68">
        <v>152</v>
      </c>
      <c r="E78" s="68">
        <v>117</v>
      </c>
      <c r="F78" s="68">
        <v>163</v>
      </c>
      <c r="G78" s="68">
        <v>68</v>
      </c>
      <c r="H78" s="68">
        <v>95</v>
      </c>
    </row>
    <row r="79" spans="1:8" s="41" customFormat="1" ht="15.75" customHeight="1">
      <c r="A79" s="160">
        <v>72</v>
      </c>
      <c r="B79" s="262">
        <v>376</v>
      </c>
      <c r="C79" s="68">
        <v>261</v>
      </c>
      <c r="D79" s="68">
        <v>141</v>
      </c>
      <c r="E79" s="68">
        <v>120</v>
      </c>
      <c r="F79" s="68">
        <v>115</v>
      </c>
      <c r="G79" s="68">
        <v>43</v>
      </c>
      <c r="H79" s="68">
        <v>72</v>
      </c>
    </row>
    <row r="80" spans="1:8" s="41" customFormat="1" ht="15.75" customHeight="1">
      <c r="A80" s="160">
        <v>73</v>
      </c>
      <c r="B80" s="262">
        <v>380</v>
      </c>
      <c r="C80" s="68">
        <v>265</v>
      </c>
      <c r="D80" s="68">
        <v>140</v>
      </c>
      <c r="E80" s="68">
        <v>125</v>
      </c>
      <c r="F80" s="68">
        <v>115</v>
      </c>
      <c r="G80" s="68">
        <v>53</v>
      </c>
      <c r="H80" s="68">
        <v>62</v>
      </c>
    </row>
    <row r="81" spans="1:8" s="41" customFormat="1" ht="15.75" customHeight="1">
      <c r="A81" s="160">
        <v>74</v>
      </c>
      <c r="B81" s="262">
        <v>300</v>
      </c>
      <c r="C81" s="68">
        <v>225</v>
      </c>
      <c r="D81" s="68">
        <v>123</v>
      </c>
      <c r="E81" s="68">
        <v>102</v>
      </c>
      <c r="F81" s="68">
        <v>75</v>
      </c>
      <c r="G81" s="68">
        <v>27</v>
      </c>
      <c r="H81" s="68">
        <v>48</v>
      </c>
    </row>
    <row r="82" spans="1:8" s="41" customFormat="1" ht="15.75" customHeight="1">
      <c r="A82" s="160">
        <v>75</v>
      </c>
      <c r="B82" s="262">
        <v>367</v>
      </c>
      <c r="C82" s="68">
        <v>261</v>
      </c>
      <c r="D82" s="68">
        <v>155</v>
      </c>
      <c r="E82" s="68">
        <v>106</v>
      </c>
      <c r="F82" s="68">
        <v>106</v>
      </c>
      <c r="G82" s="68">
        <v>41</v>
      </c>
      <c r="H82" s="68">
        <v>65</v>
      </c>
    </row>
    <row r="83" spans="1:8" s="41" customFormat="1" ht="15.75" customHeight="1">
      <c r="A83" s="160">
        <v>76</v>
      </c>
      <c r="B83" s="262">
        <v>313</v>
      </c>
      <c r="C83" s="68">
        <v>226</v>
      </c>
      <c r="D83" s="68">
        <v>120</v>
      </c>
      <c r="E83" s="68">
        <v>106</v>
      </c>
      <c r="F83" s="68">
        <v>87</v>
      </c>
      <c r="G83" s="68">
        <v>38</v>
      </c>
      <c r="H83" s="68">
        <v>49</v>
      </c>
    </row>
    <row r="84" spans="1:8" s="41" customFormat="1" ht="15.75" customHeight="1">
      <c r="A84" s="160">
        <v>77</v>
      </c>
      <c r="B84" s="262">
        <v>297</v>
      </c>
      <c r="C84" s="68">
        <v>218</v>
      </c>
      <c r="D84" s="68">
        <v>128</v>
      </c>
      <c r="E84" s="68">
        <v>90</v>
      </c>
      <c r="F84" s="68">
        <v>79</v>
      </c>
      <c r="G84" s="68">
        <v>35</v>
      </c>
      <c r="H84" s="68">
        <v>44</v>
      </c>
    </row>
    <row r="85" spans="1:8" s="41" customFormat="1" ht="15.75" customHeight="1">
      <c r="A85" s="160">
        <v>78</v>
      </c>
      <c r="B85" s="262">
        <v>255</v>
      </c>
      <c r="C85" s="68">
        <v>186</v>
      </c>
      <c r="D85" s="68">
        <v>116</v>
      </c>
      <c r="E85" s="68">
        <v>70</v>
      </c>
      <c r="F85" s="68">
        <v>69</v>
      </c>
      <c r="G85" s="68">
        <v>28</v>
      </c>
      <c r="H85" s="68">
        <v>41</v>
      </c>
    </row>
    <row r="86" spans="1:8" s="41" customFormat="1" ht="15.75" customHeight="1">
      <c r="A86" s="160">
        <v>79</v>
      </c>
      <c r="B86" s="262">
        <v>266</v>
      </c>
      <c r="C86" s="68">
        <v>199</v>
      </c>
      <c r="D86" s="68">
        <v>117</v>
      </c>
      <c r="E86" s="68">
        <v>82</v>
      </c>
      <c r="F86" s="68">
        <v>67</v>
      </c>
      <c r="G86" s="68">
        <v>30</v>
      </c>
      <c r="H86" s="68">
        <v>37</v>
      </c>
    </row>
    <row r="87" spans="1:8" s="41" customFormat="1" ht="15.75" customHeight="1">
      <c r="A87" s="160">
        <v>80</v>
      </c>
      <c r="B87" s="262">
        <v>212</v>
      </c>
      <c r="C87" s="68">
        <v>153</v>
      </c>
      <c r="D87" s="68">
        <v>85</v>
      </c>
      <c r="E87" s="68">
        <v>68</v>
      </c>
      <c r="F87" s="68">
        <v>59</v>
      </c>
      <c r="G87" s="68">
        <v>27</v>
      </c>
      <c r="H87" s="68">
        <v>32</v>
      </c>
    </row>
    <row r="88" spans="1:8" s="41" customFormat="1" ht="15.75" customHeight="1">
      <c r="A88" s="160">
        <v>81</v>
      </c>
      <c r="B88" s="262">
        <v>181</v>
      </c>
      <c r="C88" s="68">
        <v>143</v>
      </c>
      <c r="D88" s="68">
        <v>96</v>
      </c>
      <c r="E88" s="68">
        <v>47</v>
      </c>
      <c r="F88" s="68">
        <v>38</v>
      </c>
      <c r="G88" s="68">
        <v>20</v>
      </c>
      <c r="H88" s="68">
        <v>18</v>
      </c>
    </row>
    <row r="89" spans="1:8" s="41" customFormat="1" ht="15.75" customHeight="1">
      <c r="A89" s="160">
        <v>82</v>
      </c>
      <c r="B89" s="262">
        <v>173</v>
      </c>
      <c r="C89" s="68">
        <v>134</v>
      </c>
      <c r="D89" s="68">
        <v>79</v>
      </c>
      <c r="E89" s="68">
        <v>55</v>
      </c>
      <c r="F89" s="68">
        <v>39</v>
      </c>
      <c r="G89" s="68">
        <v>11</v>
      </c>
      <c r="H89" s="68">
        <v>28</v>
      </c>
    </row>
    <row r="90" spans="1:8" s="41" customFormat="1" ht="15.75" customHeight="1">
      <c r="A90" s="160">
        <v>83</v>
      </c>
      <c r="B90" s="262">
        <v>139</v>
      </c>
      <c r="C90" s="68">
        <v>106</v>
      </c>
      <c r="D90" s="68">
        <v>66</v>
      </c>
      <c r="E90" s="68">
        <v>40</v>
      </c>
      <c r="F90" s="68">
        <v>33</v>
      </c>
      <c r="G90" s="68">
        <v>16</v>
      </c>
      <c r="H90" s="68">
        <v>17</v>
      </c>
    </row>
    <row r="91" spans="1:8" s="41" customFormat="1" ht="15.75" customHeight="1">
      <c r="A91" s="160">
        <v>84</v>
      </c>
      <c r="B91" s="262">
        <v>124</v>
      </c>
      <c r="C91" s="68">
        <v>97</v>
      </c>
      <c r="D91" s="68">
        <v>57</v>
      </c>
      <c r="E91" s="68">
        <v>40</v>
      </c>
      <c r="F91" s="68">
        <v>27</v>
      </c>
      <c r="G91" s="68">
        <v>13</v>
      </c>
      <c r="H91" s="68">
        <v>14</v>
      </c>
    </row>
    <row r="92" spans="1:8" s="41" customFormat="1" ht="15.75" customHeight="1">
      <c r="A92" s="160">
        <v>85</v>
      </c>
      <c r="B92" s="262">
        <v>127</v>
      </c>
      <c r="C92" s="68">
        <v>106</v>
      </c>
      <c r="D92" s="68">
        <v>70</v>
      </c>
      <c r="E92" s="68">
        <v>36</v>
      </c>
      <c r="F92" s="68">
        <v>21</v>
      </c>
      <c r="G92" s="68">
        <v>11</v>
      </c>
      <c r="H92" s="68">
        <v>10</v>
      </c>
    </row>
    <row r="93" spans="1:8" s="41" customFormat="1" ht="15.75" customHeight="1">
      <c r="A93" s="160">
        <v>86</v>
      </c>
      <c r="B93" s="262">
        <v>120</v>
      </c>
      <c r="C93" s="68">
        <v>97</v>
      </c>
      <c r="D93" s="68">
        <v>67</v>
      </c>
      <c r="E93" s="68">
        <v>30</v>
      </c>
      <c r="F93" s="68">
        <v>23</v>
      </c>
      <c r="G93" s="68">
        <v>13</v>
      </c>
      <c r="H93" s="68">
        <v>10</v>
      </c>
    </row>
    <row r="94" spans="1:8" s="41" customFormat="1" ht="15.75" customHeight="1">
      <c r="A94" s="160">
        <v>87</v>
      </c>
      <c r="B94" s="262">
        <v>94</v>
      </c>
      <c r="C94" s="68">
        <v>75</v>
      </c>
      <c r="D94" s="68">
        <v>53</v>
      </c>
      <c r="E94" s="68">
        <v>22</v>
      </c>
      <c r="F94" s="68">
        <v>19</v>
      </c>
      <c r="G94" s="68">
        <v>6</v>
      </c>
      <c r="H94" s="68">
        <v>13</v>
      </c>
    </row>
    <row r="95" spans="1:8" s="41" customFormat="1" ht="15.75" customHeight="1">
      <c r="A95" s="160">
        <v>88</v>
      </c>
      <c r="B95" s="262">
        <v>70</v>
      </c>
      <c r="C95" s="68">
        <v>57</v>
      </c>
      <c r="D95" s="68">
        <v>34</v>
      </c>
      <c r="E95" s="68">
        <v>23</v>
      </c>
      <c r="F95" s="68">
        <v>13</v>
      </c>
      <c r="G95" s="68">
        <v>8</v>
      </c>
      <c r="H95" s="68">
        <v>5</v>
      </c>
    </row>
    <row r="96" spans="1:8" s="41" customFormat="1" ht="15.75" customHeight="1">
      <c r="A96" s="160">
        <v>89</v>
      </c>
      <c r="B96" s="262">
        <v>55</v>
      </c>
      <c r="C96" s="68">
        <v>43</v>
      </c>
      <c r="D96" s="68">
        <v>26</v>
      </c>
      <c r="E96" s="68">
        <v>17</v>
      </c>
      <c r="F96" s="68">
        <v>12</v>
      </c>
      <c r="G96" s="68">
        <v>7</v>
      </c>
      <c r="H96" s="68">
        <v>5</v>
      </c>
    </row>
    <row r="97" spans="1:8" s="41" customFormat="1" ht="15.75" customHeight="1">
      <c r="A97" s="160">
        <v>90</v>
      </c>
      <c r="B97" s="262">
        <v>59</v>
      </c>
      <c r="C97" s="68">
        <v>44</v>
      </c>
      <c r="D97" s="68">
        <v>33</v>
      </c>
      <c r="E97" s="68">
        <v>11</v>
      </c>
      <c r="F97" s="68">
        <v>15</v>
      </c>
      <c r="G97" s="68">
        <v>6</v>
      </c>
      <c r="H97" s="68">
        <v>9</v>
      </c>
    </row>
    <row r="98" spans="1:8" s="41" customFormat="1" ht="15.75" customHeight="1">
      <c r="A98" s="160">
        <v>91</v>
      </c>
      <c r="B98" s="262">
        <v>44</v>
      </c>
      <c r="C98" s="68">
        <v>35</v>
      </c>
      <c r="D98" s="68">
        <v>25</v>
      </c>
      <c r="E98" s="68">
        <v>10</v>
      </c>
      <c r="F98" s="68">
        <v>9</v>
      </c>
      <c r="G98" s="68">
        <v>3</v>
      </c>
      <c r="H98" s="68">
        <v>6</v>
      </c>
    </row>
    <row r="99" spans="1:8" s="41" customFormat="1" ht="15.75" customHeight="1">
      <c r="A99" s="160">
        <v>92</v>
      </c>
      <c r="B99" s="262">
        <v>37</v>
      </c>
      <c r="C99" s="68">
        <v>29</v>
      </c>
      <c r="D99" s="68">
        <v>24</v>
      </c>
      <c r="E99" s="68">
        <v>5</v>
      </c>
      <c r="F99" s="68">
        <v>8</v>
      </c>
      <c r="G99" s="68">
        <v>5</v>
      </c>
      <c r="H99" s="68">
        <v>3</v>
      </c>
    </row>
    <row r="100" spans="1:8" s="41" customFormat="1" ht="15.75" customHeight="1">
      <c r="A100" s="160">
        <v>93</v>
      </c>
      <c r="B100" s="262">
        <v>31</v>
      </c>
      <c r="C100" s="68">
        <v>23</v>
      </c>
      <c r="D100" s="68">
        <v>21</v>
      </c>
      <c r="E100" s="68">
        <v>2</v>
      </c>
      <c r="F100" s="68">
        <v>8</v>
      </c>
      <c r="G100" s="68">
        <v>4</v>
      </c>
      <c r="H100" s="68">
        <v>4</v>
      </c>
    </row>
    <row r="101" spans="1:8" s="41" customFormat="1" ht="15.75" customHeight="1">
      <c r="A101" s="160">
        <v>94</v>
      </c>
      <c r="B101" s="262">
        <v>18</v>
      </c>
      <c r="C101" s="68">
        <v>16</v>
      </c>
      <c r="D101" s="68">
        <v>12</v>
      </c>
      <c r="E101" s="68">
        <v>4</v>
      </c>
      <c r="F101" s="68">
        <v>2</v>
      </c>
      <c r="G101" s="68">
        <v>2</v>
      </c>
      <c r="H101" s="68">
        <v>0</v>
      </c>
    </row>
    <row r="102" spans="1:8" s="41" customFormat="1" ht="15.75" customHeight="1">
      <c r="A102" s="160">
        <v>95</v>
      </c>
      <c r="B102" s="262">
        <v>18</v>
      </c>
      <c r="C102" s="68">
        <v>14</v>
      </c>
      <c r="D102" s="68">
        <v>14</v>
      </c>
      <c r="E102" s="68">
        <v>0</v>
      </c>
      <c r="F102" s="68">
        <v>4</v>
      </c>
      <c r="G102" s="68">
        <v>3</v>
      </c>
      <c r="H102" s="68">
        <v>1</v>
      </c>
    </row>
    <row r="103" spans="1:8" s="41" customFormat="1" ht="15.75" customHeight="1">
      <c r="A103" s="160">
        <v>96</v>
      </c>
      <c r="B103" s="262">
        <v>12</v>
      </c>
      <c r="C103" s="68">
        <v>9</v>
      </c>
      <c r="D103" s="68">
        <v>9</v>
      </c>
      <c r="E103" s="68">
        <v>0</v>
      </c>
      <c r="F103" s="68">
        <v>3</v>
      </c>
      <c r="G103" s="68">
        <v>2</v>
      </c>
      <c r="H103" s="68">
        <v>1</v>
      </c>
    </row>
    <row r="104" spans="1:8" s="41" customFormat="1" ht="15.75" customHeight="1">
      <c r="A104" s="160">
        <v>97</v>
      </c>
      <c r="B104" s="262">
        <v>4</v>
      </c>
      <c r="C104" s="68">
        <v>2</v>
      </c>
      <c r="D104" s="68">
        <v>2</v>
      </c>
      <c r="E104" s="68">
        <v>0</v>
      </c>
      <c r="F104" s="68">
        <v>2</v>
      </c>
      <c r="G104" s="68">
        <v>1</v>
      </c>
      <c r="H104" s="68">
        <v>1</v>
      </c>
    </row>
    <row r="105" spans="1:8" s="41" customFormat="1" ht="15.75" customHeight="1">
      <c r="A105" s="160">
        <v>98</v>
      </c>
      <c r="B105" s="262">
        <v>5</v>
      </c>
      <c r="C105" s="68">
        <v>5</v>
      </c>
      <c r="D105" s="68">
        <v>4</v>
      </c>
      <c r="E105" s="68">
        <v>1</v>
      </c>
      <c r="F105" s="68">
        <v>0</v>
      </c>
      <c r="G105" s="68">
        <v>0</v>
      </c>
      <c r="H105" s="68">
        <v>0</v>
      </c>
    </row>
    <row r="106" spans="1:8" s="41" customFormat="1" ht="15.75" customHeight="1">
      <c r="A106" s="160">
        <v>99</v>
      </c>
      <c r="B106" s="262">
        <v>4</v>
      </c>
      <c r="C106" s="68">
        <v>4</v>
      </c>
      <c r="D106" s="68">
        <v>2</v>
      </c>
      <c r="E106" s="68">
        <v>2</v>
      </c>
      <c r="F106" s="68">
        <v>0</v>
      </c>
      <c r="G106" s="68">
        <v>0</v>
      </c>
      <c r="H106" s="68">
        <v>0</v>
      </c>
    </row>
    <row r="107" spans="1:8" s="41" customFormat="1" ht="15.75" customHeight="1" thickBot="1">
      <c r="A107" s="162">
        <v>100</v>
      </c>
      <c r="B107" s="263">
        <v>1</v>
      </c>
      <c r="C107" s="83">
        <v>1</v>
      </c>
      <c r="D107" s="83">
        <v>1</v>
      </c>
      <c r="E107" s="83">
        <v>0</v>
      </c>
      <c r="F107" s="83">
        <v>0</v>
      </c>
      <c r="G107" s="83">
        <v>0</v>
      </c>
      <c r="H107" s="83">
        <v>0</v>
      </c>
    </row>
    <row r="108" spans="1:13" s="41" customFormat="1" ht="15.75" customHeight="1">
      <c r="A108" s="391" t="s">
        <v>635</v>
      </c>
      <c r="B108" s="391"/>
      <c r="C108" s="391"/>
      <c r="D108" s="391"/>
      <c r="E108" s="391"/>
      <c r="F108" s="391"/>
      <c r="G108" s="391"/>
      <c r="H108" s="391"/>
      <c r="I108" s="181"/>
      <c r="J108" s="181"/>
      <c r="K108" s="181"/>
      <c r="L108" s="181"/>
      <c r="M108" s="181"/>
    </row>
    <row r="109" spans="1:8" s="41" customFormat="1" ht="15">
      <c r="A109" s="42"/>
      <c r="B109" s="42"/>
      <c r="C109" s="42"/>
      <c r="D109" s="42"/>
      <c r="E109" s="42"/>
      <c r="F109" s="42"/>
      <c r="G109" s="42"/>
      <c r="H109" s="42"/>
    </row>
  </sheetData>
  <sheetProtection/>
  <mergeCells count="6">
    <mergeCell ref="A2:H2"/>
    <mergeCell ref="A3:H3"/>
    <mergeCell ref="C4:E4"/>
    <mergeCell ref="F4:H4"/>
    <mergeCell ref="A108:H108"/>
    <mergeCell ref="A1:L1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9"/>
  <sheetViews>
    <sheetView zoomScale="85" zoomScaleNormal="85" zoomScalePageLayoutView="0" workbookViewId="0" topLeftCell="A1">
      <selection activeCell="T13" sqref="T13"/>
    </sheetView>
  </sheetViews>
  <sheetFormatPr defaultColWidth="11.421875" defaultRowHeight="12.75"/>
  <cols>
    <col min="1" max="1" width="6.28125" style="149" bestFit="1" customWidth="1"/>
    <col min="2" max="3" width="8.8515625" style="149" bestFit="1" customWidth="1"/>
    <col min="4" max="8" width="8.28125" style="149" customWidth="1"/>
    <col min="9" max="9" width="9.28125" style="149" bestFit="1" customWidth="1"/>
    <col min="10" max="14" width="8.28125" style="149" customWidth="1"/>
    <col min="15" max="16384" width="11.421875" style="149" customWidth="1"/>
  </cols>
  <sheetData>
    <row r="1" spans="1:14" ht="18" customHeight="1">
      <c r="A1" s="407" t="s">
        <v>69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15.75" customHeight="1">
      <c r="A2" s="404" t="s">
        <v>528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41" customFormat="1" ht="15.75" customHeight="1" thickBot="1">
      <c r="A3" s="405" t="s">
        <v>638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41" customFormat="1" ht="15.75" customHeight="1">
      <c r="A4" s="409"/>
      <c r="B4" s="336" t="s">
        <v>134</v>
      </c>
      <c r="C4" s="410" t="s">
        <v>22</v>
      </c>
      <c r="D4" s="410"/>
      <c r="E4" s="410"/>
      <c r="F4" s="410"/>
      <c r="G4" s="410"/>
      <c r="H4" s="410"/>
      <c r="I4" s="410" t="s">
        <v>21</v>
      </c>
      <c r="J4" s="410"/>
      <c r="K4" s="410"/>
      <c r="L4" s="410"/>
      <c r="M4" s="410"/>
      <c r="N4" s="410"/>
    </row>
    <row r="5" spans="1:14" s="41" customFormat="1" ht="15.75" customHeight="1">
      <c r="A5" s="409"/>
      <c r="B5" s="334"/>
      <c r="C5" s="335" t="s">
        <v>134</v>
      </c>
      <c r="D5" s="408" t="s">
        <v>198</v>
      </c>
      <c r="E5" s="408"/>
      <c r="F5" s="408"/>
      <c r="G5" s="408"/>
      <c r="H5" s="408"/>
      <c r="I5" s="335" t="s">
        <v>134</v>
      </c>
      <c r="J5" s="408" t="s">
        <v>198</v>
      </c>
      <c r="K5" s="408"/>
      <c r="L5" s="408"/>
      <c r="M5" s="408"/>
      <c r="N5" s="408"/>
    </row>
    <row r="6" spans="1:14" s="41" customFormat="1" ht="15.75" customHeight="1">
      <c r="A6" s="409"/>
      <c r="B6" s="336"/>
      <c r="C6" s="338"/>
      <c r="D6" s="337" t="s">
        <v>196</v>
      </c>
      <c r="E6" s="337" t="s">
        <v>504</v>
      </c>
      <c r="F6" s="337" t="s">
        <v>506</v>
      </c>
      <c r="G6" s="337" t="s">
        <v>197</v>
      </c>
      <c r="H6" s="337" t="s">
        <v>505</v>
      </c>
      <c r="I6" s="338"/>
      <c r="J6" s="337" t="s">
        <v>196</v>
      </c>
      <c r="K6" s="337" t="s">
        <v>504</v>
      </c>
      <c r="L6" s="337" t="s">
        <v>506</v>
      </c>
      <c r="M6" s="337" t="s">
        <v>197</v>
      </c>
      <c r="N6" s="337" t="s">
        <v>505</v>
      </c>
    </row>
    <row r="7" spans="1:14" s="41" customFormat="1" ht="15.75" customHeight="1">
      <c r="A7" s="160" t="s">
        <v>507</v>
      </c>
      <c r="B7" s="261">
        <v>38747</v>
      </c>
      <c r="C7" s="98">
        <v>19532</v>
      </c>
      <c r="D7" s="98">
        <v>7527</v>
      </c>
      <c r="E7" s="98">
        <v>8772</v>
      </c>
      <c r="F7" s="98">
        <v>1422</v>
      </c>
      <c r="G7" s="98">
        <v>28</v>
      </c>
      <c r="H7" s="98">
        <v>1783</v>
      </c>
      <c r="I7" s="98">
        <v>19215</v>
      </c>
      <c r="J7" s="98">
        <v>8526</v>
      </c>
      <c r="K7" s="98">
        <v>8972</v>
      </c>
      <c r="L7" s="98">
        <v>306</v>
      </c>
      <c r="M7" s="98">
        <v>36</v>
      </c>
      <c r="N7" s="98">
        <v>1375</v>
      </c>
    </row>
    <row r="8" spans="1:14" s="41" customFormat="1" ht="15.75" customHeight="1">
      <c r="A8" s="166">
        <v>0</v>
      </c>
      <c r="B8" s="262">
        <v>361</v>
      </c>
      <c r="C8" s="68">
        <v>178</v>
      </c>
      <c r="D8" s="68">
        <v>178</v>
      </c>
      <c r="E8" s="68">
        <v>0</v>
      </c>
      <c r="F8" s="68">
        <v>0</v>
      </c>
      <c r="G8" s="68">
        <v>0</v>
      </c>
      <c r="H8" s="68">
        <v>0</v>
      </c>
      <c r="I8" s="68">
        <v>183</v>
      </c>
      <c r="J8" s="68">
        <v>183</v>
      </c>
      <c r="K8" s="68">
        <v>0</v>
      </c>
      <c r="L8" s="68">
        <v>0</v>
      </c>
      <c r="M8" s="68">
        <v>0</v>
      </c>
      <c r="N8" s="68">
        <v>0</v>
      </c>
    </row>
    <row r="9" spans="1:14" s="41" customFormat="1" ht="15.75" customHeight="1">
      <c r="A9" s="166">
        <v>1</v>
      </c>
      <c r="B9" s="262">
        <v>389</v>
      </c>
      <c r="C9" s="68">
        <v>192</v>
      </c>
      <c r="D9" s="68">
        <v>192</v>
      </c>
      <c r="E9" s="68">
        <v>0</v>
      </c>
      <c r="F9" s="68">
        <v>0</v>
      </c>
      <c r="G9" s="68">
        <v>0</v>
      </c>
      <c r="H9" s="68">
        <v>0</v>
      </c>
      <c r="I9" s="68">
        <v>197</v>
      </c>
      <c r="J9" s="68">
        <v>197</v>
      </c>
      <c r="K9" s="68">
        <v>0</v>
      </c>
      <c r="L9" s="68">
        <v>0</v>
      </c>
      <c r="M9" s="68">
        <v>0</v>
      </c>
      <c r="N9" s="68">
        <v>0</v>
      </c>
    </row>
    <row r="10" spans="1:14" s="41" customFormat="1" ht="15.75" customHeight="1">
      <c r="A10" s="166">
        <v>2</v>
      </c>
      <c r="B10" s="262">
        <v>357</v>
      </c>
      <c r="C10" s="68">
        <v>173</v>
      </c>
      <c r="D10" s="68">
        <v>173</v>
      </c>
      <c r="E10" s="68">
        <v>0</v>
      </c>
      <c r="F10" s="68">
        <v>0</v>
      </c>
      <c r="G10" s="68">
        <v>0</v>
      </c>
      <c r="H10" s="68">
        <v>0</v>
      </c>
      <c r="I10" s="68">
        <v>184</v>
      </c>
      <c r="J10" s="68">
        <v>184</v>
      </c>
      <c r="K10" s="68">
        <v>0</v>
      </c>
      <c r="L10" s="68">
        <v>0</v>
      </c>
      <c r="M10" s="68">
        <v>0</v>
      </c>
      <c r="N10" s="68">
        <v>0</v>
      </c>
    </row>
    <row r="11" spans="1:14" s="41" customFormat="1" ht="15.75" customHeight="1">
      <c r="A11" s="166">
        <v>3</v>
      </c>
      <c r="B11" s="262">
        <v>399</v>
      </c>
      <c r="C11" s="68">
        <v>196</v>
      </c>
      <c r="D11" s="68">
        <v>196</v>
      </c>
      <c r="E11" s="68">
        <v>0</v>
      </c>
      <c r="F11" s="68">
        <v>0</v>
      </c>
      <c r="G11" s="68">
        <v>0</v>
      </c>
      <c r="H11" s="68">
        <v>0</v>
      </c>
      <c r="I11" s="68">
        <v>203</v>
      </c>
      <c r="J11" s="68">
        <v>203</v>
      </c>
      <c r="K11" s="68">
        <v>0</v>
      </c>
      <c r="L11" s="68">
        <v>0</v>
      </c>
      <c r="M11" s="68">
        <v>0</v>
      </c>
      <c r="N11" s="68">
        <v>0</v>
      </c>
    </row>
    <row r="12" spans="1:14" s="41" customFormat="1" ht="15.75" customHeight="1">
      <c r="A12" s="166">
        <v>4</v>
      </c>
      <c r="B12" s="262">
        <v>331</v>
      </c>
      <c r="C12" s="68">
        <v>146</v>
      </c>
      <c r="D12" s="68">
        <v>146</v>
      </c>
      <c r="E12" s="68">
        <v>0</v>
      </c>
      <c r="F12" s="68">
        <v>0</v>
      </c>
      <c r="G12" s="68">
        <v>0</v>
      </c>
      <c r="H12" s="68">
        <v>0</v>
      </c>
      <c r="I12" s="68">
        <v>185</v>
      </c>
      <c r="J12" s="68">
        <v>185</v>
      </c>
      <c r="K12" s="68">
        <v>0</v>
      </c>
      <c r="L12" s="68">
        <v>0</v>
      </c>
      <c r="M12" s="68">
        <v>0</v>
      </c>
      <c r="N12" s="68">
        <v>0</v>
      </c>
    </row>
    <row r="13" spans="1:14" s="41" customFormat="1" ht="15.75" customHeight="1">
      <c r="A13" s="166">
        <v>5</v>
      </c>
      <c r="B13" s="262">
        <v>386</v>
      </c>
      <c r="C13" s="68">
        <v>167</v>
      </c>
      <c r="D13" s="68">
        <v>167</v>
      </c>
      <c r="E13" s="68">
        <v>0</v>
      </c>
      <c r="F13" s="68">
        <v>0</v>
      </c>
      <c r="G13" s="68">
        <v>0</v>
      </c>
      <c r="H13" s="68">
        <v>0</v>
      </c>
      <c r="I13" s="68">
        <v>219</v>
      </c>
      <c r="J13" s="68">
        <v>219</v>
      </c>
      <c r="K13" s="68">
        <v>0</v>
      </c>
      <c r="L13" s="68">
        <v>0</v>
      </c>
      <c r="M13" s="68">
        <v>0</v>
      </c>
      <c r="N13" s="68">
        <v>0</v>
      </c>
    </row>
    <row r="14" spans="1:14" s="41" customFormat="1" ht="15.75" customHeight="1">
      <c r="A14" s="166">
        <v>6</v>
      </c>
      <c r="B14" s="262">
        <v>374</v>
      </c>
      <c r="C14" s="68">
        <v>170</v>
      </c>
      <c r="D14" s="68">
        <v>170</v>
      </c>
      <c r="E14" s="68">
        <v>0</v>
      </c>
      <c r="F14" s="68">
        <v>0</v>
      </c>
      <c r="G14" s="68">
        <v>0</v>
      </c>
      <c r="H14" s="68">
        <v>0</v>
      </c>
      <c r="I14" s="68">
        <v>204</v>
      </c>
      <c r="J14" s="68">
        <v>204</v>
      </c>
      <c r="K14" s="68">
        <v>0</v>
      </c>
      <c r="L14" s="68">
        <v>0</v>
      </c>
      <c r="M14" s="68">
        <v>0</v>
      </c>
      <c r="N14" s="68">
        <v>0</v>
      </c>
    </row>
    <row r="15" spans="1:14" s="41" customFormat="1" ht="15.75" customHeight="1">
      <c r="A15" s="166">
        <v>7</v>
      </c>
      <c r="B15" s="262">
        <v>375</v>
      </c>
      <c r="C15" s="68">
        <v>182</v>
      </c>
      <c r="D15" s="68">
        <v>182</v>
      </c>
      <c r="E15" s="68">
        <v>0</v>
      </c>
      <c r="F15" s="68">
        <v>0</v>
      </c>
      <c r="G15" s="68">
        <v>0</v>
      </c>
      <c r="H15" s="68">
        <v>0</v>
      </c>
      <c r="I15" s="68">
        <v>193</v>
      </c>
      <c r="J15" s="68">
        <v>193</v>
      </c>
      <c r="K15" s="68">
        <v>0</v>
      </c>
      <c r="L15" s="68">
        <v>0</v>
      </c>
      <c r="M15" s="68">
        <v>0</v>
      </c>
      <c r="N15" s="68">
        <v>0</v>
      </c>
    </row>
    <row r="16" spans="1:14" s="41" customFormat="1" ht="15.75" customHeight="1">
      <c r="A16" s="166">
        <v>8</v>
      </c>
      <c r="B16" s="262">
        <v>409</v>
      </c>
      <c r="C16" s="68">
        <v>197</v>
      </c>
      <c r="D16" s="68">
        <v>197</v>
      </c>
      <c r="E16" s="68">
        <v>0</v>
      </c>
      <c r="F16" s="68">
        <v>0</v>
      </c>
      <c r="G16" s="68">
        <v>0</v>
      </c>
      <c r="H16" s="68">
        <v>0</v>
      </c>
      <c r="I16" s="68">
        <v>212</v>
      </c>
      <c r="J16" s="68">
        <v>212</v>
      </c>
      <c r="K16" s="68">
        <v>0</v>
      </c>
      <c r="L16" s="68">
        <v>0</v>
      </c>
      <c r="M16" s="68">
        <v>0</v>
      </c>
      <c r="N16" s="68">
        <v>0</v>
      </c>
    </row>
    <row r="17" spans="1:14" s="41" customFormat="1" ht="15.75" customHeight="1">
      <c r="A17" s="166">
        <v>9</v>
      </c>
      <c r="B17" s="262">
        <v>353</v>
      </c>
      <c r="C17" s="68">
        <v>173</v>
      </c>
      <c r="D17" s="68">
        <v>173</v>
      </c>
      <c r="E17" s="68">
        <v>0</v>
      </c>
      <c r="F17" s="68">
        <v>0</v>
      </c>
      <c r="G17" s="68">
        <v>0</v>
      </c>
      <c r="H17" s="68">
        <v>0</v>
      </c>
      <c r="I17" s="68">
        <v>180</v>
      </c>
      <c r="J17" s="68">
        <v>180</v>
      </c>
      <c r="K17" s="68">
        <v>0</v>
      </c>
      <c r="L17" s="68">
        <v>0</v>
      </c>
      <c r="M17" s="68">
        <v>0</v>
      </c>
      <c r="N17" s="68">
        <v>0</v>
      </c>
    </row>
    <row r="18" spans="1:14" s="41" customFormat="1" ht="15.75" customHeight="1">
      <c r="A18" s="166">
        <v>10</v>
      </c>
      <c r="B18" s="262">
        <v>419</v>
      </c>
      <c r="C18" s="68">
        <v>184</v>
      </c>
      <c r="D18" s="68">
        <v>184</v>
      </c>
      <c r="E18" s="68">
        <v>0</v>
      </c>
      <c r="F18" s="68">
        <v>0</v>
      </c>
      <c r="G18" s="68">
        <v>0</v>
      </c>
      <c r="H18" s="68">
        <v>0</v>
      </c>
      <c r="I18" s="68">
        <v>235</v>
      </c>
      <c r="J18" s="68">
        <v>235</v>
      </c>
      <c r="K18" s="68">
        <v>0</v>
      </c>
      <c r="L18" s="68">
        <v>0</v>
      </c>
      <c r="M18" s="68">
        <v>0</v>
      </c>
      <c r="N18" s="68">
        <v>0</v>
      </c>
    </row>
    <row r="19" spans="1:14" s="41" customFormat="1" ht="15.75" customHeight="1">
      <c r="A19" s="166">
        <v>11</v>
      </c>
      <c r="B19" s="262">
        <v>366</v>
      </c>
      <c r="C19" s="68">
        <v>165</v>
      </c>
      <c r="D19" s="68">
        <v>165</v>
      </c>
      <c r="E19" s="68">
        <v>0</v>
      </c>
      <c r="F19" s="68">
        <v>0</v>
      </c>
      <c r="G19" s="68">
        <v>0</v>
      </c>
      <c r="H19" s="68">
        <v>0</v>
      </c>
      <c r="I19" s="68">
        <v>201</v>
      </c>
      <c r="J19" s="68">
        <v>201</v>
      </c>
      <c r="K19" s="68">
        <v>0</v>
      </c>
      <c r="L19" s="68">
        <v>0</v>
      </c>
      <c r="M19" s="68">
        <v>0</v>
      </c>
      <c r="N19" s="68">
        <v>0</v>
      </c>
    </row>
    <row r="20" spans="1:14" s="41" customFormat="1" ht="15.75" customHeight="1">
      <c r="A20" s="166">
        <v>12</v>
      </c>
      <c r="B20" s="262">
        <v>379</v>
      </c>
      <c r="C20" s="68">
        <v>176</v>
      </c>
      <c r="D20" s="68">
        <v>176</v>
      </c>
      <c r="E20" s="68">
        <v>0</v>
      </c>
      <c r="F20" s="68">
        <v>0</v>
      </c>
      <c r="G20" s="68">
        <v>0</v>
      </c>
      <c r="H20" s="68">
        <v>0</v>
      </c>
      <c r="I20" s="68">
        <v>203</v>
      </c>
      <c r="J20" s="68">
        <v>203</v>
      </c>
      <c r="K20" s="68">
        <v>0</v>
      </c>
      <c r="L20" s="68">
        <v>0</v>
      </c>
      <c r="M20" s="68">
        <v>0</v>
      </c>
      <c r="N20" s="68">
        <v>0</v>
      </c>
    </row>
    <row r="21" spans="1:14" s="41" customFormat="1" ht="15.75" customHeight="1">
      <c r="A21" s="166">
        <v>13</v>
      </c>
      <c r="B21" s="262">
        <v>385</v>
      </c>
      <c r="C21" s="68">
        <v>190</v>
      </c>
      <c r="D21" s="68">
        <v>190</v>
      </c>
      <c r="E21" s="68">
        <v>0</v>
      </c>
      <c r="F21" s="68">
        <v>0</v>
      </c>
      <c r="G21" s="68">
        <v>0</v>
      </c>
      <c r="H21" s="68">
        <v>0</v>
      </c>
      <c r="I21" s="68">
        <v>195</v>
      </c>
      <c r="J21" s="68">
        <v>195</v>
      </c>
      <c r="K21" s="68">
        <v>0</v>
      </c>
      <c r="L21" s="68">
        <v>0</v>
      </c>
      <c r="M21" s="68">
        <v>0</v>
      </c>
      <c r="N21" s="68">
        <v>0</v>
      </c>
    </row>
    <row r="22" spans="1:14" s="41" customFormat="1" ht="15.75" customHeight="1">
      <c r="A22" s="166">
        <v>14</v>
      </c>
      <c r="B22" s="262">
        <v>395</v>
      </c>
      <c r="C22" s="68">
        <v>202</v>
      </c>
      <c r="D22" s="68">
        <v>202</v>
      </c>
      <c r="E22" s="68">
        <v>0</v>
      </c>
      <c r="F22" s="68">
        <v>0</v>
      </c>
      <c r="G22" s="68">
        <v>0</v>
      </c>
      <c r="H22" s="68">
        <v>0</v>
      </c>
      <c r="I22" s="68">
        <v>193</v>
      </c>
      <c r="J22" s="68">
        <v>193</v>
      </c>
      <c r="K22" s="68">
        <v>0</v>
      </c>
      <c r="L22" s="68">
        <v>0</v>
      </c>
      <c r="M22" s="68">
        <v>0</v>
      </c>
      <c r="N22" s="68">
        <v>0</v>
      </c>
    </row>
    <row r="23" spans="1:14" s="41" customFormat="1" ht="15.75" customHeight="1">
      <c r="A23" s="166">
        <v>15</v>
      </c>
      <c r="B23" s="262">
        <v>404</v>
      </c>
      <c r="C23" s="68">
        <v>198</v>
      </c>
      <c r="D23" s="68">
        <v>198</v>
      </c>
      <c r="E23" s="68">
        <v>0</v>
      </c>
      <c r="F23" s="68">
        <v>0</v>
      </c>
      <c r="G23" s="68">
        <v>0</v>
      </c>
      <c r="H23" s="68">
        <v>0</v>
      </c>
      <c r="I23" s="68">
        <v>206</v>
      </c>
      <c r="J23" s="68">
        <v>206</v>
      </c>
      <c r="K23" s="68">
        <v>0</v>
      </c>
      <c r="L23" s="68">
        <v>0</v>
      </c>
      <c r="M23" s="68">
        <v>0</v>
      </c>
      <c r="N23" s="68">
        <v>0</v>
      </c>
    </row>
    <row r="24" spans="1:14" s="41" customFormat="1" ht="15.75" customHeight="1">
      <c r="A24" s="166">
        <v>16</v>
      </c>
      <c r="B24" s="262">
        <v>355</v>
      </c>
      <c r="C24" s="68">
        <v>174</v>
      </c>
      <c r="D24" s="68">
        <v>174</v>
      </c>
      <c r="E24" s="68">
        <v>0</v>
      </c>
      <c r="F24" s="68">
        <v>0</v>
      </c>
      <c r="G24" s="68">
        <v>0</v>
      </c>
      <c r="H24" s="68">
        <v>0</v>
      </c>
      <c r="I24" s="68">
        <v>181</v>
      </c>
      <c r="J24" s="68">
        <v>181</v>
      </c>
      <c r="K24" s="68">
        <v>0</v>
      </c>
      <c r="L24" s="68">
        <v>0</v>
      </c>
      <c r="M24" s="68">
        <v>0</v>
      </c>
      <c r="N24" s="68">
        <v>0</v>
      </c>
    </row>
    <row r="25" spans="1:14" s="41" customFormat="1" ht="15.75" customHeight="1">
      <c r="A25" s="166">
        <v>17</v>
      </c>
      <c r="B25" s="262">
        <v>403</v>
      </c>
      <c r="C25" s="68">
        <v>201</v>
      </c>
      <c r="D25" s="68">
        <v>201</v>
      </c>
      <c r="E25" s="68">
        <v>0</v>
      </c>
      <c r="F25" s="68">
        <v>0</v>
      </c>
      <c r="G25" s="68">
        <v>0</v>
      </c>
      <c r="H25" s="68">
        <v>0</v>
      </c>
      <c r="I25" s="68">
        <v>202</v>
      </c>
      <c r="J25" s="68">
        <v>202</v>
      </c>
      <c r="K25" s="68">
        <v>0</v>
      </c>
      <c r="L25" s="68">
        <v>0</v>
      </c>
      <c r="M25" s="68">
        <v>0</v>
      </c>
      <c r="N25" s="68">
        <v>0</v>
      </c>
    </row>
    <row r="26" spans="1:14" s="41" customFormat="1" ht="15.75" customHeight="1">
      <c r="A26" s="166">
        <v>18</v>
      </c>
      <c r="B26" s="262">
        <v>393</v>
      </c>
      <c r="C26" s="68">
        <v>182</v>
      </c>
      <c r="D26" s="68">
        <v>182</v>
      </c>
      <c r="E26" s="68">
        <v>0</v>
      </c>
      <c r="F26" s="68">
        <v>0</v>
      </c>
      <c r="G26" s="68">
        <v>0</v>
      </c>
      <c r="H26" s="68">
        <v>0</v>
      </c>
      <c r="I26" s="68">
        <v>211</v>
      </c>
      <c r="J26" s="68">
        <v>211</v>
      </c>
      <c r="K26" s="68">
        <v>0</v>
      </c>
      <c r="L26" s="68">
        <v>0</v>
      </c>
      <c r="M26" s="68">
        <v>0</v>
      </c>
      <c r="N26" s="68">
        <v>0</v>
      </c>
    </row>
    <row r="27" spans="1:14" s="41" customFormat="1" ht="15.75" customHeight="1">
      <c r="A27" s="166">
        <v>19</v>
      </c>
      <c r="B27" s="262">
        <v>421</v>
      </c>
      <c r="C27" s="68">
        <v>204</v>
      </c>
      <c r="D27" s="68">
        <v>203</v>
      </c>
      <c r="E27" s="68">
        <v>1</v>
      </c>
      <c r="F27" s="68">
        <v>0</v>
      </c>
      <c r="G27" s="68">
        <v>0</v>
      </c>
      <c r="H27" s="68">
        <v>0</v>
      </c>
      <c r="I27" s="68">
        <v>217</v>
      </c>
      <c r="J27" s="68">
        <v>217</v>
      </c>
      <c r="K27" s="68">
        <v>0</v>
      </c>
      <c r="L27" s="68">
        <v>0</v>
      </c>
      <c r="M27" s="68">
        <v>0</v>
      </c>
      <c r="N27" s="68">
        <v>0</v>
      </c>
    </row>
    <row r="28" spans="1:14" s="41" customFormat="1" ht="15.75" customHeight="1">
      <c r="A28" s="166">
        <v>20</v>
      </c>
      <c r="B28" s="262">
        <v>413</v>
      </c>
      <c r="C28" s="68">
        <v>222</v>
      </c>
      <c r="D28" s="68">
        <v>219</v>
      </c>
      <c r="E28" s="68">
        <v>3</v>
      </c>
      <c r="F28" s="68">
        <v>0</v>
      </c>
      <c r="G28" s="68">
        <v>0</v>
      </c>
      <c r="H28" s="68">
        <v>0</v>
      </c>
      <c r="I28" s="68">
        <v>191</v>
      </c>
      <c r="J28" s="68">
        <v>191</v>
      </c>
      <c r="K28" s="68">
        <v>0</v>
      </c>
      <c r="L28" s="68">
        <v>0</v>
      </c>
      <c r="M28" s="68">
        <v>0</v>
      </c>
      <c r="N28" s="68">
        <v>0</v>
      </c>
    </row>
    <row r="29" spans="1:14" s="41" customFormat="1" ht="15.75" customHeight="1">
      <c r="A29" s="166">
        <v>21</v>
      </c>
      <c r="B29" s="262">
        <v>410</v>
      </c>
      <c r="C29" s="68">
        <v>214</v>
      </c>
      <c r="D29" s="68">
        <v>207</v>
      </c>
      <c r="E29" s="68">
        <v>7</v>
      </c>
      <c r="F29" s="68">
        <v>0</v>
      </c>
      <c r="G29" s="68">
        <v>0</v>
      </c>
      <c r="H29" s="68">
        <v>0</v>
      </c>
      <c r="I29" s="68">
        <v>196</v>
      </c>
      <c r="J29" s="68">
        <v>194</v>
      </c>
      <c r="K29" s="68">
        <v>2</v>
      </c>
      <c r="L29" s="68">
        <v>0</v>
      </c>
      <c r="M29" s="68">
        <v>0</v>
      </c>
      <c r="N29" s="68">
        <v>0</v>
      </c>
    </row>
    <row r="30" spans="1:14" s="41" customFormat="1" ht="15.75" customHeight="1">
      <c r="A30" s="166">
        <v>22</v>
      </c>
      <c r="B30" s="262">
        <v>467</v>
      </c>
      <c r="C30" s="68">
        <v>232</v>
      </c>
      <c r="D30" s="68">
        <v>219</v>
      </c>
      <c r="E30" s="68">
        <v>13</v>
      </c>
      <c r="F30" s="68">
        <v>0</v>
      </c>
      <c r="G30" s="68">
        <v>0</v>
      </c>
      <c r="H30" s="68">
        <v>0</v>
      </c>
      <c r="I30" s="68">
        <v>235</v>
      </c>
      <c r="J30" s="68">
        <v>232</v>
      </c>
      <c r="K30" s="68">
        <v>3</v>
      </c>
      <c r="L30" s="68">
        <v>0</v>
      </c>
      <c r="M30" s="68">
        <v>0</v>
      </c>
      <c r="N30" s="68">
        <v>0</v>
      </c>
    </row>
    <row r="31" spans="1:14" s="41" customFormat="1" ht="15.75" customHeight="1">
      <c r="A31" s="166">
        <v>23</v>
      </c>
      <c r="B31" s="262">
        <v>444</v>
      </c>
      <c r="C31" s="68">
        <v>218</v>
      </c>
      <c r="D31" s="68">
        <v>199</v>
      </c>
      <c r="E31" s="68">
        <v>18</v>
      </c>
      <c r="F31" s="68">
        <v>0</v>
      </c>
      <c r="G31" s="68">
        <v>0</v>
      </c>
      <c r="H31" s="68">
        <v>1</v>
      </c>
      <c r="I31" s="68">
        <v>226</v>
      </c>
      <c r="J31" s="68">
        <v>219</v>
      </c>
      <c r="K31" s="68">
        <v>7</v>
      </c>
      <c r="L31" s="68">
        <v>0</v>
      </c>
      <c r="M31" s="68">
        <v>0</v>
      </c>
      <c r="N31" s="68">
        <v>0</v>
      </c>
    </row>
    <row r="32" spans="1:14" s="41" customFormat="1" ht="15.75" customHeight="1">
      <c r="A32" s="166">
        <v>24</v>
      </c>
      <c r="B32" s="262">
        <v>477</v>
      </c>
      <c r="C32" s="68">
        <v>231</v>
      </c>
      <c r="D32" s="68">
        <v>206</v>
      </c>
      <c r="E32" s="68">
        <v>23</v>
      </c>
      <c r="F32" s="68">
        <v>0</v>
      </c>
      <c r="G32" s="68">
        <v>0</v>
      </c>
      <c r="H32" s="68">
        <v>2</v>
      </c>
      <c r="I32" s="68">
        <v>246</v>
      </c>
      <c r="J32" s="68">
        <v>234</v>
      </c>
      <c r="K32" s="68">
        <v>12</v>
      </c>
      <c r="L32" s="68">
        <v>0</v>
      </c>
      <c r="M32" s="68">
        <v>0</v>
      </c>
      <c r="N32" s="68">
        <v>0</v>
      </c>
    </row>
    <row r="33" spans="1:14" s="41" customFormat="1" ht="15.75" customHeight="1">
      <c r="A33" s="166">
        <v>25</v>
      </c>
      <c r="B33" s="262">
        <v>427</v>
      </c>
      <c r="C33" s="68">
        <v>194</v>
      </c>
      <c r="D33" s="68">
        <v>157</v>
      </c>
      <c r="E33" s="68">
        <v>36</v>
      </c>
      <c r="F33" s="68">
        <v>0</v>
      </c>
      <c r="G33" s="68">
        <v>0</v>
      </c>
      <c r="H33" s="68">
        <v>1</v>
      </c>
      <c r="I33" s="68">
        <v>233</v>
      </c>
      <c r="J33" s="68">
        <v>209</v>
      </c>
      <c r="K33" s="68">
        <v>22</v>
      </c>
      <c r="L33" s="68">
        <v>0</v>
      </c>
      <c r="M33" s="68">
        <v>0</v>
      </c>
      <c r="N33" s="68">
        <v>2</v>
      </c>
    </row>
    <row r="34" spans="1:14" s="41" customFormat="1" ht="15.75" customHeight="1">
      <c r="A34" s="166">
        <v>26</v>
      </c>
      <c r="B34" s="262">
        <v>483</v>
      </c>
      <c r="C34" s="68">
        <v>237</v>
      </c>
      <c r="D34" s="68">
        <v>182</v>
      </c>
      <c r="E34" s="68">
        <v>53</v>
      </c>
      <c r="F34" s="68">
        <v>0</v>
      </c>
      <c r="G34" s="68">
        <v>0</v>
      </c>
      <c r="H34" s="68">
        <v>2</v>
      </c>
      <c r="I34" s="68">
        <v>246</v>
      </c>
      <c r="J34" s="68">
        <v>214</v>
      </c>
      <c r="K34" s="68">
        <v>31</v>
      </c>
      <c r="L34" s="68">
        <v>0</v>
      </c>
      <c r="M34" s="68">
        <v>0</v>
      </c>
      <c r="N34" s="68">
        <v>1</v>
      </c>
    </row>
    <row r="35" spans="1:14" s="41" customFormat="1" ht="15.75" customHeight="1">
      <c r="A35" s="166">
        <v>27</v>
      </c>
      <c r="B35" s="262">
        <v>446</v>
      </c>
      <c r="C35" s="68">
        <v>235</v>
      </c>
      <c r="D35" s="68">
        <v>155</v>
      </c>
      <c r="E35" s="68">
        <v>76</v>
      </c>
      <c r="F35" s="68">
        <v>0</v>
      </c>
      <c r="G35" s="68">
        <v>0</v>
      </c>
      <c r="H35" s="68">
        <v>4</v>
      </c>
      <c r="I35" s="68">
        <v>211</v>
      </c>
      <c r="J35" s="68">
        <v>171</v>
      </c>
      <c r="K35" s="68">
        <v>38</v>
      </c>
      <c r="L35" s="68">
        <v>0</v>
      </c>
      <c r="M35" s="68">
        <v>0</v>
      </c>
      <c r="N35" s="68">
        <v>2</v>
      </c>
    </row>
    <row r="36" spans="1:14" s="41" customFormat="1" ht="15.75" customHeight="1">
      <c r="A36" s="166">
        <v>28</v>
      </c>
      <c r="B36" s="262">
        <v>473</v>
      </c>
      <c r="C36" s="68">
        <v>229</v>
      </c>
      <c r="D36" s="68">
        <v>145</v>
      </c>
      <c r="E36" s="68">
        <v>79</v>
      </c>
      <c r="F36" s="68">
        <v>0</v>
      </c>
      <c r="G36" s="68">
        <v>0</v>
      </c>
      <c r="H36" s="68">
        <v>5</v>
      </c>
      <c r="I36" s="68">
        <v>244</v>
      </c>
      <c r="J36" s="68">
        <v>208</v>
      </c>
      <c r="K36" s="68">
        <v>35</v>
      </c>
      <c r="L36" s="68">
        <v>0</v>
      </c>
      <c r="M36" s="68">
        <v>0</v>
      </c>
      <c r="N36" s="68">
        <v>1</v>
      </c>
    </row>
    <row r="37" spans="1:14" s="41" customFormat="1" ht="15.75" customHeight="1">
      <c r="A37" s="166">
        <v>29</v>
      </c>
      <c r="B37" s="262">
        <v>469</v>
      </c>
      <c r="C37" s="68">
        <v>246</v>
      </c>
      <c r="D37" s="68">
        <v>145</v>
      </c>
      <c r="E37" s="68">
        <v>95</v>
      </c>
      <c r="F37" s="68">
        <v>0</v>
      </c>
      <c r="G37" s="68">
        <v>0</v>
      </c>
      <c r="H37" s="68">
        <v>6</v>
      </c>
      <c r="I37" s="68">
        <v>223</v>
      </c>
      <c r="J37" s="68">
        <v>154</v>
      </c>
      <c r="K37" s="68">
        <v>67</v>
      </c>
      <c r="L37" s="68">
        <v>0</v>
      </c>
      <c r="M37" s="68">
        <v>0</v>
      </c>
      <c r="N37" s="68">
        <v>2</v>
      </c>
    </row>
    <row r="38" spans="1:14" s="41" customFormat="1" ht="15.75" customHeight="1">
      <c r="A38" s="166">
        <v>30</v>
      </c>
      <c r="B38" s="262">
        <v>487</v>
      </c>
      <c r="C38" s="68">
        <v>228</v>
      </c>
      <c r="D38" s="68">
        <v>103</v>
      </c>
      <c r="E38" s="68">
        <v>119</v>
      </c>
      <c r="F38" s="68">
        <v>1</v>
      </c>
      <c r="G38" s="68">
        <v>0</v>
      </c>
      <c r="H38" s="68">
        <v>5</v>
      </c>
      <c r="I38" s="68">
        <v>259</v>
      </c>
      <c r="J38" s="68">
        <v>159</v>
      </c>
      <c r="K38" s="68">
        <v>94</v>
      </c>
      <c r="L38" s="68">
        <v>0</v>
      </c>
      <c r="M38" s="68">
        <v>0</v>
      </c>
      <c r="N38" s="68">
        <v>6</v>
      </c>
    </row>
    <row r="39" spans="1:14" s="41" customFormat="1" ht="15.75" customHeight="1">
      <c r="A39" s="166">
        <v>31</v>
      </c>
      <c r="B39" s="262">
        <v>498</v>
      </c>
      <c r="C39" s="68">
        <v>225</v>
      </c>
      <c r="D39" s="68">
        <v>98</v>
      </c>
      <c r="E39" s="68">
        <v>125</v>
      </c>
      <c r="F39" s="68">
        <v>0</v>
      </c>
      <c r="G39" s="68">
        <v>0</v>
      </c>
      <c r="H39" s="68">
        <v>2</v>
      </c>
      <c r="I39" s="68">
        <v>273</v>
      </c>
      <c r="J39" s="68">
        <v>163</v>
      </c>
      <c r="K39" s="68">
        <v>103</v>
      </c>
      <c r="L39" s="68">
        <v>0</v>
      </c>
      <c r="M39" s="68">
        <v>0</v>
      </c>
      <c r="N39" s="68">
        <v>7</v>
      </c>
    </row>
    <row r="40" spans="1:14" s="41" customFormat="1" ht="15.75" customHeight="1">
      <c r="A40" s="166">
        <v>32</v>
      </c>
      <c r="B40" s="262">
        <v>489</v>
      </c>
      <c r="C40" s="68">
        <v>261</v>
      </c>
      <c r="D40" s="68">
        <v>91</v>
      </c>
      <c r="E40" s="68">
        <v>158</v>
      </c>
      <c r="F40" s="68">
        <v>0</v>
      </c>
      <c r="G40" s="68">
        <v>0</v>
      </c>
      <c r="H40" s="68">
        <v>12</v>
      </c>
      <c r="I40" s="68">
        <v>228</v>
      </c>
      <c r="J40" s="68">
        <v>124</v>
      </c>
      <c r="K40" s="68">
        <v>96</v>
      </c>
      <c r="L40" s="68">
        <v>1</v>
      </c>
      <c r="M40" s="68">
        <v>0</v>
      </c>
      <c r="N40" s="68">
        <v>7</v>
      </c>
    </row>
    <row r="41" spans="1:14" s="41" customFormat="1" ht="15.75" customHeight="1">
      <c r="A41" s="166">
        <v>33</v>
      </c>
      <c r="B41" s="262">
        <v>477</v>
      </c>
      <c r="C41" s="68">
        <v>247</v>
      </c>
      <c r="D41" s="68">
        <v>84</v>
      </c>
      <c r="E41" s="68">
        <v>155</v>
      </c>
      <c r="F41" s="68">
        <v>0</v>
      </c>
      <c r="G41" s="68">
        <v>0</v>
      </c>
      <c r="H41" s="68">
        <v>8</v>
      </c>
      <c r="I41" s="68">
        <v>230</v>
      </c>
      <c r="J41" s="68">
        <v>91</v>
      </c>
      <c r="K41" s="68">
        <v>129</v>
      </c>
      <c r="L41" s="68">
        <v>0</v>
      </c>
      <c r="M41" s="68">
        <v>0</v>
      </c>
      <c r="N41" s="68">
        <v>10</v>
      </c>
    </row>
    <row r="42" spans="1:14" s="41" customFormat="1" ht="15.75" customHeight="1">
      <c r="A42" s="166">
        <v>34</v>
      </c>
      <c r="B42" s="262">
        <v>484</v>
      </c>
      <c r="C42" s="68">
        <v>245</v>
      </c>
      <c r="D42" s="68">
        <v>60</v>
      </c>
      <c r="E42" s="68">
        <v>167</v>
      </c>
      <c r="F42" s="68">
        <v>1</v>
      </c>
      <c r="G42" s="68">
        <v>1</v>
      </c>
      <c r="H42" s="68">
        <v>16</v>
      </c>
      <c r="I42" s="68">
        <v>239</v>
      </c>
      <c r="J42" s="68">
        <v>99</v>
      </c>
      <c r="K42" s="68">
        <v>130</v>
      </c>
      <c r="L42" s="68">
        <v>0</v>
      </c>
      <c r="M42" s="68">
        <v>0</v>
      </c>
      <c r="N42" s="68">
        <v>10</v>
      </c>
    </row>
    <row r="43" spans="1:14" s="41" customFormat="1" ht="15.75" customHeight="1">
      <c r="A43" s="166">
        <v>35</v>
      </c>
      <c r="B43" s="262">
        <v>516</v>
      </c>
      <c r="C43" s="68">
        <v>266</v>
      </c>
      <c r="D43" s="68">
        <v>66</v>
      </c>
      <c r="E43" s="68">
        <v>188</v>
      </c>
      <c r="F43" s="68">
        <v>0</v>
      </c>
      <c r="G43" s="68">
        <v>0</v>
      </c>
      <c r="H43" s="68">
        <v>12</v>
      </c>
      <c r="I43" s="68">
        <v>250</v>
      </c>
      <c r="J43" s="68">
        <v>100</v>
      </c>
      <c r="K43" s="68">
        <v>142</v>
      </c>
      <c r="L43" s="68">
        <v>0</v>
      </c>
      <c r="M43" s="68">
        <v>1</v>
      </c>
      <c r="N43" s="68">
        <v>7</v>
      </c>
    </row>
    <row r="44" spans="1:14" s="41" customFormat="1" ht="15.75" customHeight="1">
      <c r="A44" s="166">
        <v>36</v>
      </c>
      <c r="B44" s="262">
        <v>471</v>
      </c>
      <c r="C44" s="68">
        <v>251</v>
      </c>
      <c r="D44" s="68">
        <v>58</v>
      </c>
      <c r="E44" s="68">
        <v>172</v>
      </c>
      <c r="F44" s="68">
        <v>0</v>
      </c>
      <c r="G44" s="68">
        <v>1</v>
      </c>
      <c r="H44" s="68">
        <v>20</v>
      </c>
      <c r="I44" s="68">
        <v>220</v>
      </c>
      <c r="J44" s="68">
        <v>71</v>
      </c>
      <c r="K44" s="68">
        <v>141</v>
      </c>
      <c r="L44" s="68">
        <v>0</v>
      </c>
      <c r="M44" s="68">
        <v>0</v>
      </c>
      <c r="N44" s="68">
        <v>8</v>
      </c>
    </row>
    <row r="45" spans="1:14" s="41" customFormat="1" ht="15.75" customHeight="1">
      <c r="A45" s="166">
        <v>37</v>
      </c>
      <c r="B45" s="262">
        <v>526</v>
      </c>
      <c r="C45" s="68">
        <v>257</v>
      </c>
      <c r="D45" s="68">
        <v>71</v>
      </c>
      <c r="E45" s="68">
        <v>158</v>
      </c>
      <c r="F45" s="68">
        <v>1</v>
      </c>
      <c r="G45" s="68">
        <v>1</v>
      </c>
      <c r="H45" s="68">
        <v>26</v>
      </c>
      <c r="I45" s="68">
        <v>269</v>
      </c>
      <c r="J45" s="68">
        <v>99</v>
      </c>
      <c r="K45" s="68">
        <v>160</v>
      </c>
      <c r="L45" s="68">
        <v>1</v>
      </c>
      <c r="M45" s="68">
        <v>0</v>
      </c>
      <c r="N45" s="68">
        <v>9</v>
      </c>
    </row>
    <row r="46" spans="1:14" s="41" customFormat="1" ht="15.75" customHeight="1">
      <c r="A46" s="166">
        <v>38</v>
      </c>
      <c r="B46" s="262">
        <v>498</v>
      </c>
      <c r="C46" s="68">
        <v>234</v>
      </c>
      <c r="D46" s="68">
        <v>47</v>
      </c>
      <c r="E46" s="68">
        <v>169</v>
      </c>
      <c r="F46" s="68">
        <v>1</v>
      </c>
      <c r="G46" s="68">
        <v>1</v>
      </c>
      <c r="H46" s="68">
        <v>16</v>
      </c>
      <c r="I46" s="68">
        <v>264</v>
      </c>
      <c r="J46" s="68">
        <v>93</v>
      </c>
      <c r="K46" s="68">
        <v>155</v>
      </c>
      <c r="L46" s="68">
        <v>0</v>
      </c>
      <c r="M46" s="68">
        <v>1</v>
      </c>
      <c r="N46" s="68">
        <v>15</v>
      </c>
    </row>
    <row r="47" spans="1:14" s="41" customFormat="1" ht="15.75" customHeight="1">
      <c r="A47" s="166">
        <v>39</v>
      </c>
      <c r="B47" s="262">
        <v>521</v>
      </c>
      <c r="C47" s="68">
        <v>255</v>
      </c>
      <c r="D47" s="68">
        <v>60</v>
      </c>
      <c r="E47" s="68">
        <v>163</v>
      </c>
      <c r="F47" s="68">
        <v>2</v>
      </c>
      <c r="G47" s="68">
        <v>0</v>
      </c>
      <c r="H47" s="68">
        <v>30</v>
      </c>
      <c r="I47" s="68">
        <v>266</v>
      </c>
      <c r="J47" s="68">
        <v>85</v>
      </c>
      <c r="K47" s="68">
        <v>167</v>
      </c>
      <c r="L47" s="68">
        <v>0</v>
      </c>
      <c r="M47" s="68">
        <v>0</v>
      </c>
      <c r="N47" s="68">
        <v>14</v>
      </c>
    </row>
    <row r="48" spans="1:14" s="41" customFormat="1" ht="15.75" customHeight="1">
      <c r="A48" s="166">
        <v>40</v>
      </c>
      <c r="B48" s="262">
        <v>505</v>
      </c>
      <c r="C48" s="68">
        <v>255</v>
      </c>
      <c r="D48" s="68">
        <v>61</v>
      </c>
      <c r="E48" s="68">
        <v>170</v>
      </c>
      <c r="F48" s="68">
        <v>3</v>
      </c>
      <c r="G48" s="68">
        <v>0</v>
      </c>
      <c r="H48" s="68">
        <v>21</v>
      </c>
      <c r="I48" s="68">
        <v>250</v>
      </c>
      <c r="J48" s="68">
        <v>67</v>
      </c>
      <c r="K48" s="68">
        <v>163</v>
      </c>
      <c r="L48" s="68">
        <v>0</v>
      </c>
      <c r="M48" s="68">
        <v>0</v>
      </c>
      <c r="N48" s="68">
        <v>20</v>
      </c>
    </row>
    <row r="49" spans="1:14" s="41" customFormat="1" ht="15.75" customHeight="1">
      <c r="A49" s="166">
        <v>41</v>
      </c>
      <c r="B49" s="262">
        <v>494</v>
      </c>
      <c r="C49" s="68">
        <v>255</v>
      </c>
      <c r="D49" s="68">
        <v>51</v>
      </c>
      <c r="E49" s="68">
        <v>184</v>
      </c>
      <c r="F49" s="68">
        <v>1</v>
      </c>
      <c r="G49" s="68">
        <v>0</v>
      </c>
      <c r="H49" s="68">
        <v>19</v>
      </c>
      <c r="I49" s="68">
        <v>239</v>
      </c>
      <c r="J49" s="68">
        <v>63</v>
      </c>
      <c r="K49" s="68">
        <v>164</v>
      </c>
      <c r="L49" s="68">
        <v>0</v>
      </c>
      <c r="M49" s="68">
        <v>1</v>
      </c>
      <c r="N49" s="68">
        <v>11</v>
      </c>
    </row>
    <row r="50" spans="1:14" s="41" customFormat="1" ht="15.75" customHeight="1">
      <c r="A50" s="166">
        <v>42</v>
      </c>
      <c r="B50" s="262">
        <v>517</v>
      </c>
      <c r="C50" s="68">
        <v>247</v>
      </c>
      <c r="D50" s="68">
        <v>45</v>
      </c>
      <c r="E50" s="68">
        <v>175</v>
      </c>
      <c r="F50" s="68">
        <v>2</v>
      </c>
      <c r="G50" s="68">
        <v>0</v>
      </c>
      <c r="H50" s="68">
        <v>25</v>
      </c>
      <c r="I50" s="68">
        <v>270</v>
      </c>
      <c r="J50" s="68">
        <v>63</v>
      </c>
      <c r="K50" s="68">
        <v>179</v>
      </c>
      <c r="L50" s="68">
        <v>0</v>
      </c>
      <c r="M50" s="68">
        <v>0</v>
      </c>
      <c r="N50" s="68">
        <v>28</v>
      </c>
    </row>
    <row r="51" spans="1:14" s="41" customFormat="1" ht="15.75" customHeight="1">
      <c r="A51" s="166">
        <v>43</v>
      </c>
      <c r="B51" s="262">
        <v>520</v>
      </c>
      <c r="C51" s="68">
        <v>249</v>
      </c>
      <c r="D51" s="68">
        <v>44</v>
      </c>
      <c r="E51" s="68">
        <v>179</v>
      </c>
      <c r="F51" s="68">
        <v>1</v>
      </c>
      <c r="G51" s="68">
        <v>0</v>
      </c>
      <c r="H51" s="68">
        <v>25</v>
      </c>
      <c r="I51" s="68">
        <v>271</v>
      </c>
      <c r="J51" s="68">
        <v>72</v>
      </c>
      <c r="K51" s="68">
        <v>177</v>
      </c>
      <c r="L51" s="68">
        <v>1</v>
      </c>
      <c r="M51" s="68">
        <v>0</v>
      </c>
      <c r="N51" s="68">
        <v>21</v>
      </c>
    </row>
    <row r="52" spans="1:14" s="41" customFormat="1" ht="15.75" customHeight="1">
      <c r="A52" s="166">
        <v>44</v>
      </c>
      <c r="B52" s="262">
        <v>526</v>
      </c>
      <c r="C52" s="68">
        <v>282</v>
      </c>
      <c r="D52" s="68">
        <v>41</v>
      </c>
      <c r="E52" s="68">
        <v>206</v>
      </c>
      <c r="F52" s="68">
        <v>3</v>
      </c>
      <c r="G52" s="68">
        <v>0</v>
      </c>
      <c r="H52" s="68">
        <v>32</v>
      </c>
      <c r="I52" s="68">
        <v>244</v>
      </c>
      <c r="J52" s="68">
        <v>50</v>
      </c>
      <c r="K52" s="68">
        <v>179</v>
      </c>
      <c r="L52" s="68">
        <v>0</v>
      </c>
      <c r="M52" s="68">
        <v>0</v>
      </c>
      <c r="N52" s="68">
        <v>15</v>
      </c>
    </row>
    <row r="53" spans="1:14" s="41" customFormat="1" ht="15.75" customHeight="1">
      <c r="A53" s="166">
        <v>45</v>
      </c>
      <c r="B53" s="262">
        <v>530</v>
      </c>
      <c r="C53" s="68">
        <v>260</v>
      </c>
      <c r="D53" s="68">
        <v>37</v>
      </c>
      <c r="E53" s="68">
        <v>192</v>
      </c>
      <c r="F53" s="68">
        <v>3</v>
      </c>
      <c r="G53" s="68">
        <v>1</v>
      </c>
      <c r="H53" s="68">
        <v>27</v>
      </c>
      <c r="I53" s="68">
        <v>270</v>
      </c>
      <c r="J53" s="68">
        <v>54</v>
      </c>
      <c r="K53" s="68">
        <v>190</v>
      </c>
      <c r="L53" s="68">
        <v>0</v>
      </c>
      <c r="M53" s="68">
        <v>2</v>
      </c>
      <c r="N53" s="68">
        <v>24</v>
      </c>
    </row>
    <row r="54" spans="1:14" s="41" customFormat="1" ht="15.75" customHeight="1">
      <c r="A54" s="166">
        <v>46</v>
      </c>
      <c r="B54" s="262">
        <v>593</v>
      </c>
      <c r="C54" s="68">
        <v>308</v>
      </c>
      <c r="D54" s="68">
        <v>48</v>
      </c>
      <c r="E54" s="68">
        <v>210</v>
      </c>
      <c r="F54" s="68">
        <v>5</v>
      </c>
      <c r="G54" s="68">
        <v>1</v>
      </c>
      <c r="H54" s="68">
        <v>44</v>
      </c>
      <c r="I54" s="68">
        <v>285</v>
      </c>
      <c r="J54" s="68">
        <v>58</v>
      </c>
      <c r="K54" s="68">
        <v>194</v>
      </c>
      <c r="L54" s="68">
        <v>0</v>
      </c>
      <c r="M54" s="68">
        <v>1</v>
      </c>
      <c r="N54" s="68">
        <v>32</v>
      </c>
    </row>
    <row r="55" spans="1:14" s="41" customFormat="1" ht="15.75" customHeight="1">
      <c r="A55" s="166">
        <v>47</v>
      </c>
      <c r="B55" s="262">
        <v>577</v>
      </c>
      <c r="C55" s="68">
        <v>308</v>
      </c>
      <c r="D55" s="68">
        <v>50</v>
      </c>
      <c r="E55" s="68">
        <v>207</v>
      </c>
      <c r="F55" s="68">
        <v>1</v>
      </c>
      <c r="G55" s="68">
        <v>2</v>
      </c>
      <c r="H55" s="68">
        <v>48</v>
      </c>
      <c r="I55" s="68">
        <v>269</v>
      </c>
      <c r="J55" s="68">
        <v>58</v>
      </c>
      <c r="K55" s="68">
        <v>185</v>
      </c>
      <c r="L55" s="68">
        <v>0</v>
      </c>
      <c r="M55" s="68">
        <v>0</v>
      </c>
      <c r="N55" s="68">
        <v>26</v>
      </c>
    </row>
    <row r="56" spans="1:14" s="41" customFormat="1" ht="15.75" customHeight="1">
      <c r="A56" s="166">
        <v>48</v>
      </c>
      <c r="B56" s="262">
        <v>586</v>
      </c>
      <c r="C56" s="68">
        <v>298</v>
      </c>
      <c r="D56" s="68">
        <v>38</v>
      </c>
      <c r="E56" s="68">
        <v>207</v>
      </c>
      <c r="F56" s="68">
        <v>2</v>
      </c>
      <c r="G56" s="68">
        <v>0</v>
      </c>
      <c r="H56" s="68">
        <v>51</v>
      </c>
      <c r="I56" s="68">
        <v>288</v>
      </c>
      <c r="J56" s="68">
        <v>65</v>
      </c>
      <c r="K56" s="68">
        <v>190</v>
      </c>
      <c r="L56" s="68">
        <v>1</v>
      </c>
      <c r="M56" s="68">
        <v>0</v>
      </c>
      <c r="N56" s="68">
        <v>32</v>
      </c>
    </row>
    <row r="57" spans="1:14" s="41" customFormat="1" ht="15.75" customHeight="1">
      <c r="A57" s="166">
        <v>49</v>
      </c>
      <c r="B57" s="262">
        <v>651</v>
      </c>
      <c r="C57" s="68">
        <v>294</v>
      </c>
      <c r="D57" s="68">
        <v>54</v>
      </c>
      <c r="E57" s="68">
        <v>195</v>
      </c>
      <c r="F57" s="68">
        <v>4</v>
      </c>
      <c r="G57" s="68">
        <v>1</v>
      </c>
      <c r="H57" s="68">
        <v>40</v>
      </c>
      <c r="I57" s="68">
        <v>357</v>
      </c>
      <c r="J57" s="68">
        <v>71</v>
      </c>
      <c r="K57" s="68">
        <v>241</v>
      </c>
      <c r="L57" s="68">
        <v>1</v>
      </c>
      <c r="M57" s="68">
        <v>1</v>
      </c>
      <c r="N57" s="68">
        <v>43</v>
      </c>
    </row>
    <row r="58" spans="1:14" s="41" customFormat="1" ht="15.75" customHeight="1">
      <c r="A58" s="166">
        <v>50</v>
      </c>
      <c r="B58" s="262">
        <v>644</v>
      </c>
      <c r="C58" s="68">
        <v>311</v>
      </c>
      <c r="D58" s="68">
        <v>35</v>
      </c>
      <c r="E58" s="68">
        <v>218</v>
      </c>
      <c r="F58" s="68">
        <v>11</v>
      </c>
      <c r="G58" s="68">
        <v>0</v>
      </c>
      <c r="H58" s="68">
        <v>47</v>
      </c>
      <c r="I58" s="68">
        <v>333</v>
      </c>
      <c r="J58" s="68">
        <v>69</v>
      </c>
      <c r="K58" s="68">
        <v>226</v>
      </c>
      <c r="L58" s="68">
        <v>1</v>
      </c>
      <c r="M58" s="68">
        <v>1</v>
      </c>
      <c r="N58" s="68">
        <v>36</v>
      </c>
    </row>
    <row r="59" spans="1:14" s="41" customFormat="1" ht="15.75" customHeight="1">
      <c r="A59" s="166">
        <v>51</v>
      </c>
      <c r="B59" s="262">
        <v>705</v>
      </c>
      <c r="C59" s="68">
        <v>377</v>
      </c>
      <c r="D59" s="68">
        <v>62</v>
      </c>
      <c r="E59" s="68">
        <v>242</v>
      </c>
      <c r="F59" s="68">
        <v>11</v>
      </c>
      <c r="G59" s="68">
        <v>0</v>
      </c>
      <c r="H59" s="68">
        <v>62</v>
      </c>
      <c r="I59" s="68">
        <v>328</v>
      </c>
      <c r="J59" s="68">
        <v>64</v>
      </c>
      <c r="K59" s="68">
        <v>220</v>
      </c>
      <c r="L59" s="68">
        <v>3</v>
      </c>
      <c r="M59" s="68">
        <v>3</v>
      </c>
      <c r="N59" s="68">
        <v>38</v>
      </c>
    </row>
    <row r="60" spans="1:14" s="41" customFormat="1" ht="15.75" customHeight="1">
      <c r="A60" s="166">
        <v>52</v>
      </c>
      <c r="B60" s="262">
        <v>649</v>
      </c>
      <c r="C60" s="68">
        <v>332</v>
      </c>
      <c r="D60" s="68">
        <v>49</v>
      </c>
      <c r="E60" s="68">
        <v>212</v>
      </c>
      <c r="F60" s="68">
        <v>5</v>
      </c>
      <c r="G60" s="68">
        <v>2</v>
      </c>
      <c r="H60" s="68">
        <v>64</v>
      </c>
      <c r="I60" s="68">
        <v>317</v>
      </c>
      <c r="J60" s="68">
        <v>44</v>
      </c>
      <c r="K60" s="68">
        <v>231</v>
      </c>
      <c r="L60" s="68">
        <v>1</v>
      </c>
      <c r="M60" s="68">
        <v>0</v>
      </c>
      <c r="N60" s="68">
        <v>41</v>
      </c>
    </row>
    <row r="61" spans="1:14" s="41" customFormat="1" ht="15.75" customHeight="1">
      <c r="A61" s="166">
        <v>53</v>
      </c>
      <c r="B61" s="262">
        <v>625</v>
      </c>
      <c r="C61" s="68">
        <v>329</v>
      </c>
      <c r="D61" s="68">
        <v>49</v>
      </c>
      <c r="E61" s="68">
        <v>211</v>
      </c>
      <c r="F61" s="68">
        <v>3</v>
      </c>
      <c r="G61" s="68">
        <v>0</v>
      </c>
      <c r="H61" s="68">
        <v>66</v>
      </c>
      <c r="I61" s="68">
        <v>296</v>
      </c>
      <c r="J61" s="68">
        <v>52</v>
      </c>
      <c r="K61" s="68">
        <v>204</v>
      </c>
      <c r="L61" s="68">
        <v>0</v>
      </c>
      <c r="M61" s="68">
        <v>0</v>
      </c>
      <c r="N61" s="68">
        <v>40</v>
      </c>
    </row>
    <row r="62" spans="1:14" s="41" customFormat="1" ht="15.75" customHeight="1">
      <c r="A62" s="166">
        <v>54</v>
      </c>
      <c r="B62" s="262">
        <v>622</v>
      </c>
      <c r="C62" s="68">
        <v>297</v>
      </c>
      <c r="D62" s="68">
        <v>33</v>
      </c>
      <c r="E62" s="68">
        <v>203</v>
      </c>
      <c r="F62" s="68">
        <v>11</v>
      </c>
      <c r="G62" s="68">
        <v>0</v>
      </c>
      <c r="H62" s="68">
        <v>50</v>
      </c>
      <c r="I62" s="68">
        <v>325</v>
      </c>
      <c r="J62" s="68">
        <v>49</v>
      </c>
      <c r="K62" s="68">
        <v>226</v>
      </c>
      <c r="L62" s="68">
        <v>0</v>
      </c>
      <c r="M62" s="68">
        <v>2</v>
      </c>
      <c r="N62" s="68">
        <v>48</v>
      </c>
    </row>
    <row r="63" spans="1:14" s="41" customFormat="1" ht="15.75" customHeight="1">
      <c r="A63" s="166">
        <v>55</v>
      </c>
      <c r="B63" s="262">
        <v>673</v>
      </c>
      <c r="C63" s="68">
        <v>351</v>
      </c>
      <c r="D63" s="68">
        <v>37</v>
      </c>
      <c r="E63" s="68">
        <v>250</v>
      </c>
      <c r="F63" s="68">
        <v>10</v>
      </c>
      <c r="G63" s="68">
        <v>0</v>
      </c>
      <c r="H63" s="68">
        <v>54</v>
      </c>
      <c r="I63" s="68">
        <v>322</v>
      </c>
      <c r="J63" s="68">
        <v>48</v>
      </c>
      <c r="K63" s="68">
        <v>206</v>
      </c>
      <c r="L63" s="68">
        <v>2</v>
      </c>
      <c r="M63" s="68">
        <v>1</v>
      </c>
      <c r="N63" s="68">
        <v>65</v>
      </c>
    </row>
    <row r="64" spans="1:14" s="41" customFormat="1" ht="15.75" customHeight="1">
      <c r="A64" s="166">
        <v>56</v>
      </c>
      <c r="B64" s="262">
        <v>641</v>
      </c>
      <c r="C64" s="68">
        <v>335</v>
      </c>
      <c r="D64" s="68">
        <v>38</v>
      </c>
      <c r="E64" s="68">
        <v>218</v>
      </c>
      <c r="F64" s="68">
        <v>7</v>
      </c>
      <c r="G64" s="68">
        <v>0</v>
      </c>
      <c r="H64" s="68">
        <v>72</v>
      </c>
      <c r="I64" s="68">
        <v>306</v>
      </c>
      <c r="J64" s="68">
        <v>36</v>
      </c>
      <c r="K64" s="68">
        <v>215</v>
      </c>
      <c r="L64" s="68">
        <v>3</v>
      </c>
      <c r="M64" s="68">
        <v>0</v>
      </c>
      <c r="N64" s="68">
        <v>52</v>
      </c>
    </row>
    <row r="65" spans="1:14" s="41" customFormat="1" ht="15.75" customHeight="1">
      <c r="A65" s="166">
        <v>57</v>
      </c>
      <c r="B65" s="262">
        <v>628</v>
      </c>
      <c r="C65" s="68">
        <v>303</v>
      </c>
      <c r="D65" s="68">
        <v>24</v>
      </c>
      <c r="E65" s="68">
        <v>188</v>
      </c>
      <c r="F65" s="68">
        <v>15</v>
      </c>
      <c r="G65" s="68">
        <v>0</v>
      </c>
      <c r="H65" s="68">
        <v>76</v>
      </c>
      <c r="I65" s="68">
        <v>325</v>
      </c>
      <c r="J65" s="68">
        <v>41</v>
      </c>
      <c r="K65" s="68">
        <v>226</v>
      </c>
      <c r="L65" s="68">
        <v>6</v>
      </c>
      <c r="M65" s="68">
        <v>1</v>
      </c>
      <c r="N65" s="68">
        <v>51</v>
      </c>
    </row>
    <row r="66" spans="1:14" s="41" customFormat="1" ht="15.75" customHeight="1">
      <c r="A66" s="166">
        <v>58</v>
      </c>
      <c r="B66" s="262">
        <v>602</v>
      </c>
      <c r="C66" s="68">
        <v>316</v>
      </c>
      <c r="D66" s="68">
        <v>31</v>
      </c>
      <c r="E66" s="68">
        <v>200</v>
      </c>
      <c r="F66" s="68">
        <v>20</v>
      </c>
      <c r="G66" s="68">
        <v>1</v>
      </c>
      <c r="H66" s="68">
        <v>64</v>
      </c>
      <c r="I66" s="68">
        <v>286</v>
      </c>
      <c r="J66" s="68">
        <v>28</v>
      </c>
      <c r="K66" s="68">
        <v>205</v>
      </c>
      <c r="L66" s="68">
        <v>2</v>
      </c>
      <c r="M66" s="68">
        <v>0</v>
      </c>
      <c r="N66" s="68">
        <v>51</v>
      </c>
    </row>
    <row r="67" spans="1:14" s="41" customFormat="1" ht="15.75" customHeight="1">
      <c r="A67" s="166">
        <v>59</v>
      </c>
      <c r="B67" s="262">
        <v>605</v>
      </c>
      <c r="C67" s="68">
        <v>303</v>
      </c>
      <c r="D67" s="68">
        <v>27</v>
      </c>
      <c r="E67" s="68">
        <v>196</v>
      </c>
      <c r="F67" s="68">
        <v>13</v>
      </c>
      <c r="G67" s="68">
        <v>0</v>
      </c>
      <c r="H67" s="68">
        <v>67</v>
      </c>
      <c r="I67" s="68">
        <v>302</v>
      </c>
      <c r="J67" s="68">
        <v>36</v>
      </c>
      <c r="K67" s="68">
        <v>213</v>
      </c>
      <c r="L67" s="68">
        <v>9</v>
      </c>
      <c r="M67" s="68">
        <v>3</v>
      </c>
      <c r="N67" s="68">
        <v>41</v>
      </c>
    </row>
    <row r="68" spans="1:14" s="41" customFormat="1" ht="15.75" customHeight="1">
      <c r="A68" s="166">
        <v>60</v>
      </c>
      <c r="B68" s="262">
        <v>576</v>
      </c>
      <c r="C68" s="68">
        <v>297</v>
      </c>
      <c r="D68" s="68">
        <v>32</v>
      </c>
      <c r="E68" s="68">
        <v>200</v>
      </c>
      <c r="F68" s="68">
        <v>22</v>
      </c>
      <c r="G68" s="68">
        <v>0</v>
      </c>
      <c r="H68" s="68">
        <v>43</v>
      </c>
      <c r="I68" s="68">
        <v>279</v>
      </c>
      <c r="J68" s="68">
        <v>20</v>
      </c>
      <c r="K68" s="68">
        <v>211</v>
      </c>
      <c r="L68" s="68">
        <v>3</v>
      </c>
      <c r="M68" s="68">
        <v>0</v>
      </c>
      <c r="N68" s="68">
        <v>45</v>
      </c>
    </row>
    <row r="69" spans="1:14" s="41" customFormat="1" ht="15.75" customHeight="1">
      <c r="A69" s="166">
        <v>61</v>
      </c>
      <c r="B69" s="262">
        <v>537</v>
      </c>
      <c r="C69" s="68">
        <v>279</v>
      </c>
      <c r="D69" s="68">
        <v>40</v>
      </c>
      <c r="E69" s="68">
        <v>164</v>
      </c>
      <c r="F69" s="68">
        <v>23</v>
      </c>
      <c r="G69" s="68">
        <v>1</v>
      </c>
      <c r="H69" s="68">
        <v>51</v>
      </c>
      <c r="I69" s="68">
        <v>258</v>
      </c>
      <c r="J69" s="68">
        <v>28</v>
      </c>
      <c r="K69" s="68">
        <v>180</v>
      </c>
      <c r="L69" s="68">
        <v>5</v>
      </c>
      <c r="M69" s="68">
        <v>0</v>
      </c>
      <c r="N69" s="68">
        <v>45</v>
      </c>
    </row>
    <row r="70" spans="1:14" s="41" customFormat="1" ht="15.75" customHeight="1">
      <c r="A70" s="166">
        <v>62</v>
      </c>
      <c r="B70" s="262">
        <v>536</v>
      </c>
      <c r="C70" s="68">
        <v>273</v>
      </c>
      <c r="D70" s="68">
        <v>35</v>
      </c>
      <c r="E70" s="68">
        <v>164</v>
      </c>
      <c r="F70" s="68">
        <v>27</v>
      </c>
      <c r="G70" s="68">
        <v>0</v>
      </c>
      <c r="H70" s="68">
        <v>47</v>
      </c>
      <c r="I70" s="68">
        <v>263</v>
      </c>
      <c r="J70" s="68">
        <v>28</v>
      </c>
      <c r="K70" s="68">
        <v>192</v>
      </c>
      <c r="L70" s="68">
        <v>0</v>
      </c>
      <c r="M70" s="68">
        <v>1</v>
      </c>
      <c r="N70" s="68">
        <v>42</v>
      </c>
    </row>
    <row r="71" spans="1:14" s="41" customFormat="1" ht="15.75" customHeight="1">
      <c r="A71" s="166">
        <v>63</v>
      </c>
      <c r="B71" s="262">
        <v>510</v>
      </c>
      <c r="C71" s="68">
        <v>253</v>
      </c>
      <c r="D71" s="68">
        <v>20</v>
      </c>
      <c r="E71" s="68">
        <v>163</v>
      </c>
      <c r="F71" s="68">
        <v>26</v>
      </c>
      <c r="G71" s="68">
        <v>4</v>
      </c>
      <c r="H71" s="68">
        <v>40</v>
      </c>
      <c r="I71" s="68">
        <v>257</v>
      </c>
      <c r="J71" s="68">
        <v>22</v>
      </c>
      <c r="K71" s="68">
        <v>185</v>
      </c>
      <c r="L71" s="68">
        <v>6</v>
      </c>
      <c r="M71" s="68">
        <v>0</v>
      </c>
      <c r="N71" s="68">
        <v>44</v>
      </c>
    </row>
    <row r="72" spans="1:14" s="41" customFormat="1" ht="15.75" customHeight="1">
      <c r="A72" s="166">
        <v>64</v>
      </c>
      <c r="B72" s="262">
        <v>478</v>
      </c>
      <c r="C72" s="68">
        <v>237</v>
      </c>
      <c r="D72" s="68">
        <v>31</v>
      </c>
      <c r="E72" s="68">
        <v>154</v>
      </c>
      <c r="F72" s="68">
        <v>16</v>
      </c>
      <c r="G72" s="68">
        <v>0</v>
      </c>
      <c r="H72" s="68">
        <v>36</v>
      </c>
      <c r="I72" s="68">
        <v>241</v>
      </c>
      <c r="J72" s="68">
        <v>24</v>
      </c>
      <c r="K72" s="68">
        <v>179</v>
      </c>
      <c r="L72" s="68">
        <v>3</v>
      </c>
      <c r="M72" s="68">
        <v>0</v>
      </c>
      <c r="N72" s="68">
        <v>35</v>
      </c>
    </row>
    <row r="73" spans="1:14" s="41" customFormat="1" ht="15.75" customHeight="1">
      <c r="A73" s="166">
        <v>65</v>
      </c>
      <c r="B73" s="262">
        <v>470</v>
      </c>
      <c r="C73" s="68">
        <v>240</v>
      </c>
      <c r="D73" s="68">
        <v>21</v>
      </c>
      <c r="E73" s="68">
        <v>154</v>
      </c>
      <c r="F73" s="68">
        <v>25</v>
      </c>
      <c r="G73" s="68">
        <v>1</v>
      </c>
      <c r="H73" s="68">
        <v>39</v>
      </c>
      <c r="I73" s="68">
        <v>230</v>
      </c>
      <c r="J73" s="68">
        <v>21</v>
      </c>
      <c r="K73" s="68">
        <v>169</v>
      </c>
      <c r="L73" s="68">
        <v>9</v>
      </c>
      <c r="M73" s="68">
        <v>2</v>
      </c>
      <c r="N73" s="68">
        <v>29</v>
      </c>
    </row>
    <row r="74" spans="1:14" s="41" customFormat="1" ht="15.75" customHeight="1">
      <c r="A74" s="166">
        <v>66</v>
      </c>
      <c r="B74" s="262">
        <v>434</v>
      </c>
      <c r="C74" s="68">
        <v>214</v>
      </c>
      <c r="D74" s="68">
        <v>16</v>
      </c>
      <c r="E74" s="68">
        <v>135</v>
      </c>
      <c r="F74" s="68">
        <v>26</v>
      </c>
      <c r="G74" s="68">
        <v>0</v>
      </c>
      <c r="H74" s="68">
        <v>37</v>
      </c>
      <c r="I74" s="68">
        <v>220</v>
      </c>
      <c r="J74" s="68">
        <v>13</v>
      </c>
      <c r="K74" s="68">
        <v>167</v>
      </c>
      <c r="L74" s="68">
        <v>10</v>
      </c>
      <c r="M74" s="68">
        <v>2</v>
      </c>
      <c r="N74" s="68">
        <v>28</v>
      </c>
    </row>
    <row r="75" spans="1:14" s="41" customFormat="1" ht="15.75" customHeight="1">
      <c r="A75" s="166">
        <v>67</v>
      </c>
      <c r="B75" s="262">
        <v>427</v>
      </c>
      <c r="C75" s="68">
        <v>244</v>
      </c>
      <c r="D75" s="68">
        <v>19</v>
      </c>
      <c r="E75" s="68">
        <v>159</v>
      </c>
      <c r="F75" s="68">
        <v>28</v>
      </c>
      <c r="G75" s="68">
        <v>2</v>
      </c>
      <c r="H75" s="68">
        <v>36</v>
      </c>
      <c r="I75" s="68">
        <v>183</v>
      </c>
      <c r="J75" s="68">
        <v>12</v>
      </c>
      <c r="K75" s="68">
        <v>139</v>
      </c>
      <c r="L75" s="68">
        <v>8</v>
      </c>
      <c r="M75" s="68">
        <v>0</v>
      </c>
      <c r="N75" s="68">
        <v>24</v>
      </c>
    </row>
    <row r="76" spans="1:14" s="41" customFormat="1" ht="15.75" customHeight="1">
      <c r="A76" s="166">
        <v>68</v>
      </c>
      <c r="B76" s="262">
        <v>441</v>
      </c>
      <c r="C76" s="68">
        <v>214</v>
      </c>
      <c r="D76" s="68">
        <v>16</v>
      </c>
      <c r="E76" s="68">
        <v>130</v>
      </c>
      <c r="F76" s="68">
        <v>32</v>
      </c>
      <c r="G76" s="68">
        <v>1</v>
      </c>
      <c r="H76" s="68">
        <v>35</v>
      </c>
      <c r="I76" s="68">
        <v>227</v>
      </c>
      <c r="J76" s="68">
        <v>19</v>
      </c>
      <c r="K76" s="68">
        <v>172</v>
      </c>
      <c r="L76" s="68">
        <v>7</v>
      </c>
      <c r="M76" s="68">
        <v>1</v>
      </c>
      <c r="N76" s="68">
        <v>28</v>
      </c>
    </row>
    <row r="77" spans="1:14" s="41" customFormat="1" ht="15.75" customHeight="1">
      <c r="A77" s="166">
        <v>69</v>
      </c>
      <c r="B77" s="262">
        <v>402</v>
      </c>
      <c r="C77" s="68">
        <v>206</v>
      </c>
      <c r="D77" s="68">
        <v>22</v>
      </c>
      <c r="E77" s="68">
        <v>109</v>
      </c>
      <c r="F77" s="68">
        <v>36</v>
      </c>
      <c r="G77" s="68">
        <v>1</v>
      </c>
      <c r="H77" s="68">
        <v>38</v>
      </c>
      <c r="I77" s="68">
        <v>196</v>
      </c>
      <c r="J77" s="68">
        <v>15</v>
      </c>
      <c r="K77" s="68">
        <v>148</v>
      </c>
      <c r="L77" s="68">
        <v>6</v>
      </c>
      <c r="M77" s="68">
        <v>1</v>
      </c>
      <c r="N77" s="68">
        <v>26</v>
      </c>
    </row>
    <row r="78" spans="1:14" s="41" customFormat="1" ht="15.75" customHeight="1">
      <c r="A78" s="166">
        <v>70</v>
      </c>
      <c r="B78" s="262">
        <v>399</v>
      </c>
      <c r="C78" s="68">
        <v>195</v>
      </c>
      <c r="D78" s="68">
        <v>11</v>
      </c>
      <c r="E78" s="68">
        <v>127</v>
      </c>
      <c r="F78" s="68">
        <v>36</v>
      </c>
      <c r="G78" s="68">
        <v>0</v>
      </c>
      <c r="H78" s="68">
        <v>21</v>
      </c>
      <c r="I78" s="68">
        <v>204</v>
      </c>
      <c r="J78" s="68">
        <v>11</v>
      </c>
      <c r="K78" s="68">
        <v>157</v>
      </c>
      <c r="L78" s="68">
        <v>14</v>
      </c>
      <c r="M78" s="68">
        <v>0</v>
      </c>
      <c r="N78" s="68">
        <v>22</v>
      </c>
    </row>
    <row r="79" spans="1:14" s="41" customFormat="1" ht="15.75" customHeight="1">
      <c r="A79" s="166">
        <v>71</v>
      </c>
      <c r="B79" s="262">
        <v>432</v>
      </c>
      <c r="C79" s="68">
        <v>220</v>
      </c>
      <c r="D79" s="68">
        <v>18</v>
      </c>
      <c r="E79" s="68">
        <v>139</v>
      </c>
      <c r="F79" s="68">
        <v>39</v>
      </c>
      <c r="G79" s="68">
        <v>1</v>
      </c>
      <c r="H79" s="68">
        <v>23</v>
      </c>
      <c r="I79" s="68">
        <v>212</v>
      </c>
      <c r="J79" s="68">
        <v>17</v>
      </c>
      <c r="K79" s="68">
        <v>149</v>
      </c>
      <c r="L79" s="68">
        <v>11</v>
      </c>
      <c r="M79" s="68">
        <v>1</v>
      </c>
      <c r="N79" s="68">
        <v>34</v>
      </c>
    </row>
    <row r="80" spans="1:14" s="41" customFormat="1" ht="15.75" customHeight="1">
      <c r="A80" s="166">
        <v>72</v>
      </c>
      <c r="B80" s="262">
        <v>376</v>
      </c>
      <c r="C80" s="68">
        <v>184</v>
      </c>
      <c r="D80" s="68">
        <v>10</v>
      </c>
      <c r="E80" s="68">
        <v>112</v>
      </c>
      <c r="F80" s="68">
        <v>25</v>
      </c>
      <c r="G80" s="68">
        <v>3</v>
      </c>
      <c r="H80" s="68">
        <v>34</v>
      </c>
      <c r="I80" s="68">
        <v>192</v>
      </c>
      <c r="J80" s="68">
        <v>15</v>
      </c>
      <c r="K80" s="68">
        <v>142</v>
      </c>
      <c r="L80" s="68">
        <v>11</v>
      </c>
      <c r="M80" s="68">
        <v>1</v>
      </c>
      <c r="N80" s="68">
        <v>23</v>
      </c>
    </row>
    <row r="81" spans="1:14" s="41" customFormat="1" ht="15.75" customHeight="1">
      <c r="A81" s="166">
        <v>73</v>
      </c>
      <c r="B81" s="262">
        <v>380</v>
      </c>
      <c r="C81" s="68">
        <v>193</v>
      </c>
      <c r="D81" s="68">
        <v>15</v>
      </c>
      <c r="E81" s="68">
        <v>105</v>
      </c>
      <c r="F81" s="68">
        <v>49</v>
      </c>
      <c r="G81" s="68">
        <v>0</v>
      </c>
      <c r="H81" s="68">
        <v>24</v>
      </c>
      <c r="I81" s="68">
        <v>187</v>
      </c>
      <c r="J81" s="68">
        <v>7</v>
      </c>
      <c r="K81" s="68">
        <v>147</v>
      </c>
      <c r="L81" s="68">
        <v>17</v>
      </c>
      <c r="M81" s="68">
        <v>1</v>
      </c>
      <c r="N81" s="68">
        <v>15</v>
      </c>
    </row>
    <row r="82" spans="1:14" s="41" customFormat="1" ht="15.75" customHeight="1">
      <c r="A82" s="166">
        <v>74</v>
      </c>
      <c r="B82" s="262">
        <v>300</v>
      </c>
      <c r="C82" s="68">
        <v>150</v>
      </c>
      <c r="D82" s="68">
        <v>15</v>
      </c>
      <c r="E82" s="68">
        <v>82</v>
      </c>
      <c r="F82" s="68">
        <v>40</v>
      </c>
      <c r="G82" s="68">
        <v>0</v>
      </c>
      <c r="H82" s="68">
        <v>13</v>
      </c>
      <c r="I82" s="68">
        <v>150</v>
      </c>
      <c r="J82" s="68">
        <v>9</v>
      </c>
      <c r="K82" s="68">
        <v>117</v>
      </c>
      <c r="L82" s="68">
        <v>7</v>
      </c>
      <c r="M82" s="68">
        <v>1</v>
      </c>
      <c r="N82" s="68">
        <v>16</v>
      </c>
    </row>
    <row r="83" spans="1:14" s="41" customFormat="1" ht="15.75" customHeight="1">
      <c r="A83" s="166">
        <v>75</v>
      </c>
      <c r="B83" s="262">
        <v>367</v>
      </c>
      <c r="C83" s="68">
        <v>196</v>
      </c>
      <c r="D83" s="68">
        <v>18</v>
      </c>
      <c r="E83" s="68">
        <v>97</v>
      </c>
      <c r="F83" s="68">
        <v>58</v>
      </c>
      <c r="G83" s="68">
        <v>0</v>
      </c>
      <c r="H83" s="68">
        <v>23</v>
      </c>
      <c r="I83" s="68">
        <v>171</v>
      </c>
      <c r="J83" s="68">
        <v>11</v>
      </c>
      <c r="K83" s="68">
        <v>130</v>
      </c>
      <c r="L83" s="68">
        <v>14</v>
      </c>
      <c r="M83" s="68">
        <v>1</v>
      </c>
      <c r="N83" s="68">
        <v>15</v>
      </c>
    </row>
    <row r="84" spans="1:14" s="41" customFormat="1" ht="15.75" customHeight="1">
      <c r="A84" s="166">
        <v>76</v>
      </c>
      <c r="B84" s="262">
        <v>313</v>
      </c>
      <c r="C84" s="68">
        <v>158</v>
      </c>
      <c r="D84" s="68">
        <v>8</v>
      </c>
      <c r="E84" s="68">
        <v>72</v>
      </c>
      <c r="F84" s="68">
        <v>58</v>
      </c>
      <c r="G84" s="68">
        <v>0</v>
      </c>
      <c r="H84" s="68">
        <v>20</v>
      </c>
      <c r="I84" s="68">
        <v>155</v>
      </c>
      <c r="J84" s="68">
        <v>8</v>
      </c>
      <c r="K84" s="68">
        <v>124</v>
      </c>
      <c r="L84" s="68">
        <v>10</v>
      </c>
      <c r="M84" s="68">
        <v>1</v>
      </c>
      <c r="N84" s="68">
        <v>12</v>
      </c>
    </row>
    <row r="85" spans="1:14" s="41" customFormat="1" ht="15.75" customHeight="1">
      <c r="A85" s="166">
        <v>77</v>
      </c>
      <c r="B85" s="262">
        <v>297</v>
      </c>
      <c r="C85" s="68">
        <v>163</v>
      </c>
      <c r="D85" s="68">
        <v>9</v>
      </c>
      <c r="E85" s="68">
        <v>84</v>
      </c>
      <c r="F85" s="68">
        <v>52</v>
      </c>
      <c r="G85" s="68">
        <v>0</v>
      </c>
      <c r="H85" s="68">
        <v>18</v>
      </c>
      <c r="I85" s="68">
        <v>134</v>
      </c>
      <c r="J85" s="68">
        <v>4</v>
      </c>
      <c r="K85" s="68">
        <v>109</v>
      </c>
      <c r="L85" s="68">
        <v>8</v>
      </c>
      <c r="M85" s="68">
        <v>2</v>
      </c>
      <c r="N85" s="68">
        <v>11</v>
      </c>
    </row>
    <row r="86" spans="1:14" s="41" customFormat="1" ht="15.75" customHeight="1">
      <c r="A86" s="166">
        <v>78</v>
      </c>
      <c r="B86" s="262">
        <v>255</v>
      </c>
      <c r="C86" s="68">
        <v>144</v>
      </c>
      <c r="D86" s="68">
        <v>10</v>
      </c>
      <c r="E86" s="68">
        <v>68</v>
      </c>
      <c r="F86" s="68">
        <v>48</v>
      </c>
      <c r="G86" s="68">
        <v>1</v>
      </c>
      <c r="H86" s="68">
        <v>17</v>
      </c>
      <c r="I86" s="68">
        <v>111</v>
      </c>
      <c r="J86" s="68">
        <v>6</v>
      </c>
      <c r="K86" s="68">
        <v>74</v>
      </c>
      <c r="L86" s="68">
        <v>10</v>
      </c>
      <c r="M86" s="68">
        <v>1</v>
      </c>
      <c r="N86" s="68">
        <v>20</v>
      </c>
    </row>
    <row r="87" spans="1:14" s="41" customFormat="1" ht="15.75" customHeight="1">
      <c r="A87" s="166">
        <v>79</v>
      </c>
      <c r="B87" s="262">
        <v>266</v>
      </c>
      <c r="C87" s="68">
        <v>147</v>
      </c>
      <c r="D87" s="68">
        <v>11</v>
      </c>
      <c r="E87" s="68">
        <v>68</v>
      </c>
      <c r="F87" s="68">
        <v>60</v>
      </c>
      <c r="G87" s="68">
        <v>0</v>
      </c>
      <c r="H87" s="68">
        <v>8</v>
      </c>
      <c r="I87" s="68">
        <v>119</v>
      </c>
      <c r="J87" s="68">
        <v>5</v>
      </c>
      <c r="K87" s="68">
        <v>92</v>
      </c>
      <c r="L87" s="68">
        <v>6</v>
      </c>
      <c r="M87" s="68">
        <v>0</v>
      </c>
      <c r="N87" s="68">
        <v>16</v>
      </c>
    </row>
    <row r="88" spans="1:14" s="41" customFormat="1" ht="15.75" customHeight="1">
      <c r="A88" s="166">
        <v>80</v>
      </c>
      <c r="B88" s="262">
        <v>212</v>
      </c>
      <c r="C88" s="68">
        <v>112</v>
      </c>
      <c r="D88" s="68">
        <v>8</v>
      </c>
      <c r="E88" s="68">
        <v>53</v>
      </c>
      <c r="F88" s="68">
        <v>46</v>
      </c>
      <c r="G88" s="68">
        <v>0</v>
      </c>
      <c r="H88" s="68">
        <v>5</v>
      </c>
      <c r="I88" s="68">
        <v>100</v>
      </c>
      <c r="J88" s="68">
        <v>5</v>
      </c>
      <c r="K88" s="68">
        <v>83</v>
      </c>
      <c r="L88" s="68">
        <v>8</v>
      </c>
      <c r="M88" s="68">
        <v>0</v>
      </c>
      <c r="N88" s="68">
        <v>4</v>
      </c>
    </row>
    <row r="89" spans="1:14" s="41" customFormat="1" ht="15.75" customHeight="1">
      <c r="A89" s="166">
        <v>81</v>
      </c>
      <c r="B89" s="262">
        <v>181</v>
      </c>
      <c r="C89" s="68">
        <v>116</v>
      </c>
      <c r="D89" s="68">
        <v>5</v>
      </c>
      <c r="E89" s="68">
        <v>50</v>
      </c>
      <c r="F89" s="68">
        <v>52</v>
      </c>
      <c r="G89" s="68">
        <v>0</v>
      </c>
      <c r="H89" s="68">
        <v>9</v>
      </c>
      <c r="I89" s="68">
        <v>65</v>
      </c>
      <c r="J89" s="68">
        <v>5</v>
      </c>
      <c r="K89" s="68">
        <v>48</v>
      </c>
      <c r="L89" s="68">
        <v>6</v>
      </c>
      <c r="M89" s="68">
        <v>0</v>
      </c>
      <c r="N89" s="68">
        <v>6</v>
      </c>
    </row>
    <row r="90" spans="1:14" s="41" customFormat="1" ht="15.75" customHeight="1">
      <c r="A90" s="166">
        <v>82</v>
      </c>
      <c r="B90" s="262">
        <v>173</v>
      </c>
      <c r="C90" s="68">
        <v>90</v>
      </c>
      <c r="D90" s="68">
        <v>6</v>
      </c>
      <c r="E90" s="68">
        <v>28</v>
      </c>
      <c r="F90" s="68">
        <v>47</v>
      </c>
      <c r="G90" s="68">
        <v>0</v>
      </c>
      <c r="H90" s="68">
        <v>9</v>
      </c>
      <c r="I90" s="68">
        <v>83</v>
      </c>
      <c r="J90" s="68">
        <v>3</v>
      </c>
      <c r="K90" s="68">
        <v>60</v>
      </c>
      <c r="L90" s="68">
        <v>13</v>
      </c>
      <c r="M90" s="68">
        <v>0</v>
      </c>
      <c r="N90" s="68">
        <v>7</v>
      </c>
    </row>
    <row r="91" spans="1:14" s="41" customFormat="1" ht="15.75" customHeight="1">
      <c r="A91" s="166">
        <v>83</v>
      </c>
      <c r="B91" s="262">
        <v>139</v>
      </c>
      <c r="C91" s="68">
        <v>82</v>
      </c>
      <c r="D91" s="68">
        <v>7</v>
      </c>
      <c r="E91" s="68">
        <v>27</v>
      </c>
      <c r="F91" s="68">
        <v>44</v>
      </c>
      <c r="G91" s="68">
        <v>0</v>
      </c>
      <c r="H91" s="68">
        <v>4</v>
      </c>
      <c r="I91" s="68">
        <v>57</v>
      </c>
      <c r="J91" s="68">
        <v>3</v>
      </c>
      <c r="K91" s="68">
        <v>43</v>
      </c>
      <c r="L91" s="68">
        <v>9</v>
      </c>
      <c r="M91" s="68">
        <v>0</v>
      </c>
      <c r="N91" s="68">
        <v>2</v>
      </c>
    </row>
    <row r="92" spans="1:14" s="41" customFormat="1" ht="15.75" customHeight="1">
      <c r="A92" s="166">
        <v>84</v>
      </c>
      <c r="B92" s="262">
        <v>124</v>
      </c>
      <c r="C92" s="68">
        <v>70</v>
      </c>
      <c r="D92" s="68">
        <v>9</v>
      </c>
      <c r="E92" s="68">
        <v>22</v>
      </c>
      <c r="F92" s="68">
        <v>34</v>
      </c>
      <c r="G92" s="68">
        <v>0</v>
      </c>
      <c r="H92" s="68">
        <v>5</v>
      </c>
      <c r="I92" s="68">
        <v>54</v>
      </c>
      <c r="J92" s="68">
        <v>2</v>
      </c>
      <c r="K92" s="68">
        <v>34</v>
      </c>
      <c r="L92" s="68">
        <v>16</v>
      </c>
      <c r="M92" s="68">
        <v>0</v>
      </c>
      <c r="N92" s="68">
        <v>2</v>
      </c>
    </row>
    <row r="93" spans="1:14" s="41" customFormat="1" ht="15.75" customHeight="1">
      <c r="A93" s="166">
        <v>85</v>
      </c>
      <c r="B93" s="262">
        <v>127</v>
      </c>
      <c r="C93" s="68">
        <v>81</v>
      </c>
      <c r="D93" s="68">
        <v>8</v>
      </c>
      <c r="E93" s="68">
        <v>15</v>
      </c>
      <c r="F93" s="68">
        <v>53</v>
      </c>
      <c r="G93" s="68">
        <v>0</v>
      </c>
      <c r="H93" s="68">
        <v>5</v>
      </c>
      <c r="I93" s="68">
        <v>46</v>
      </c>
      <c r="J93" s="68">
        <v>1</v>
      </c>
      <c r="K93" s="68">
        <v>35</v>
      </c>
      <c r="L93" s="68">
        <v>8</v>
      </c>
      <c r="M93" s="68">
        <v>0</v>
      </c>
      <c r="N93" s="68">
        <v>2</v>
      </c>
    </row>
    <row r="94" spans="1:14" s="41" customFormat="1" ht="15.75" customHeight="1">
      <c r="A94" s="166">
        <v>86</v>
      </c>
      <c r="B94" s="262">
        <v>120</v>
      </c>
      <c r="C94" s="68">
        <v>80</v>
      </c>
      <c r="D94" s="68">
        <v>10</v>
      </c>
      <c r="E94" s="68">
        <v>19</v>
      </c>
      <c r="F94" s="68">
        <v>45</v>
      </c>
      <c r="G94" s="68">
        <v>0</v>
      </c>
      <c r="H94" s="68">
        <v>6</v>
      </c>
      <c r="I94" s="68">
        <v>40</v>
      </c>
      <c r="J94" s="68">
        <v>4</v>
      </c>
      <c r="K94" s="68">
        <v>22</v>
      </c>
      <c r="L94" s="68">
        <v>10</v>
      </c>
      <c r="M94" s="68">
        <v>0</v>
      </c>
      <c r="N94" s="68">
        <v>4</v>
      </c>
    </row>
    <row r="95" spans="1:14" s="41" customFormat="1" ht="15.75" customHeight="1">
      <c r="A95" s="166">
        <v>87</v>
      </c>
      <c r="B95" s="262">
        <v>94</v>
      </c>
      <c r="C95" s="68">
        <v>59</v>
      </c>
      <c r="D95" s="68">
        <v>6</v>
      </c>
      <c r="E95" s="68">
        <v>4</v>
      </c>
      <c r="F95" s="68">
        <v>46</v>
      </c>
      <c r="G95" s="68">
        <v>0</v>
      </c>
      <c r="H95" s="68">
        <v>3</v>
      </c>
      <c r="I95" s="68">
        <v>35</v>
      </c>
      <c r="J95" s="68">
        <v>1</v>
      </c>
      <c r="K95" s="68">
        <v>26</v>
      </c>
      <c r="L95" s="68">
        <v>7</v>
      </c>
      <c r="M95" s="68">
        <v>1</v>
      </c>
      <c r="N95" s="68">
        <v>0</v>
      </c>
    </row>
    <row r="96" spans="1:14" s="41" customFormat="1" ht="15.75" customHeight="1">
      <c r="A96" s="166">
        <v>88</v>
      </c>
      <c r="B96" s="262">
        <v>70</v>
      </c>
      <c r="C96" s="68">
        <v>42</v>
      </c>
      <c r="D96" s="68">
        <v>0</v>
      </c>
      <c r="E96" s="68">
        <v>8</v>
      </c>
      <c r="F96" s="68">
        <v>30</v>
      </c>
      <c r="G96" s="68">
        <v>0</v>
      </c>
      <c r="H96" s="68">
        <v>4</v>
      </c>
      <c r="I96" s="68">
        <v>28</v>
      </c>
      <c r="J96" s="68">
        <v>2</v>
      </c>
      <c r="K96" s="68">
        <v>21</v>
      </c>
      <c r="L96" s="68">
        <v>5</v>
      </c>
      <c r="M96" s="68">
        <v>0</v>
      </c>
      <c r="N96" s="68">
        <v>0</v>
      </c>
    </row>
    <row r="97" spans="1:14" s="41" customFormat="1" ht="15.75" customHeight="1">
      <c r="A97" s="166">
        <v>89</v>
      </c>
      <c r="B97" s="262">
        <v>55</v>
      </c>
      <c r="C97" s="68">
        <v>33</v>
      </c>
      <c r="D97" s="68">
        <v>2</v>
      </c>
      <c r="E97" s="68">
        <v>10</v>
      </c>
      <c r="F97" s="68">
        <v>19</v>
      </c>
      <c r="G97" s="68">
        <v>0</v>
      </c>
      <c r="H97" s="68">
        <v>2</v>
      </c>
      <c r="I97" s="68">
        <v>22</v>
      </c>
      <c r="J97" s="68">
        <v>1</v>
      </c>
      <c r="K97" s="68">
        <v>12</v>
      </c>
      <c r="L97" s="68">
        <v>7</v>
      </c>
      <c r="M97" s="68">
        <v>0</v>
      </c>
      <c r="N97" s="68">
        <v>2</v>
      </c>
    </row>
    <row r="98" spans="1:14" s="41" customFormat="1" ht="15.75" customHeight="1">
      <c r="A98" s="166">
        <v>90</v>
      </c>
      <c r="B98" s="262">
        <v>59</v>
      </c>
      <c r="C98" s="68">
        <v>39</v>
      </c>
      <c r="D98" s="68">
        <v>3</v>
      </c>
      <c r="E98" s="68">
        <v>2</v>
      </c>
      <c r="F98" s="68">
        <v>33</v>
      </c>
      <c r="G98" s="68">
        <v>0</v>
      </c>
      <c r="H98" s="68">
        <v>1</v>
      </c>
      <c r="I98" s="68">
        <v>20</v>
      </c>
      <c r="J98" s="68">
        <v>0</v>
      </c>
      <c r="K98" s="68">
        <v>14</v>
      </c>
      <c r="L98" s="68">
        <v>6</v>
      </c>
      <c r="M98" s="68">
        <v>0</v>
      </c>
      <c r="N98" s="68">
        <v>0</v>
      </c>
    </row>
    <row r="99" spans="1:14" s="41" customFormat="1" ht="15.75" customHeight="1">
      <c r="A99" s="166">
        <v>91</v>
      </c>
      <c r="B99" s="262">
        <v>44</v>
      </c>
      <c r="C99" s="68">
        <v>28</v>
      </c>
      <c r="D99" s="68">
        <v>1</v>
      </c>
      <c r="E99" s="68">
        <v>1</v>
      </c>
      <c r="F99" s="68">
        <v>24</v>
      </c>
      <c r="G99" s="68">
        <v>0</v>
      </c>
      <c r="H99" s="68">
        <v>2</v>
      </c>
      <c r="I99" s="68">
        <v>16</v>
      </c>
      <c r="J99" s="68">
        <v>0</v>
      </c>
      <c r="K99" s="68">
        <v>9</v>
      </c>
      <c r="L99" s="68">
        <v>6</v>
      </c>
      <c r="M99" s="68">
        <v>1</v>
      </c>
      <c r="N99" s="68">
        <v>0</v>
      </c>
    </row>
    <row r="100" spans="1:14" s="41" customFormat="1" ht="15.75" customHeight="1">
      <c r="A100" s="166">
        <v>92</v>
      </c>
      <c r="B100" s="262">
        <v>37</v>
      </c>
      <c r="C100" s="68">
        <v>29</v>
      </c>
      <c r="D100" s="68">
        <v>3</v>
      </c>
      <c r="E100" s="68">
        <v>2</v>
      </c>
      <c r="F100" s="68">
        <v>24</v>
      </c>
      <c r="G100" s="68">
        <v>0</v>
      </c>
      <c r="H100" s="68">
        <v>0</v>
      </c>
      <c r="I100" s="68">
        <v>8</v>
      </c>
      <c r="J100" s="68">
        <v>1</v>
      </c>
      <c r="K100" s="68">
        <v>6</v>
      </c>
      <c r="L100" s="68">
        <v>1</v>
      </c>
      <c r="M100" s="68">
        <v>0</v>
      </c>
      <c r="N100" s="68">
        <v>0</v>
      </c>
    </row>
    <row r="101" spans="1:14" s="41" customFormat="1" ht="15.75" customHeight="1">
      <c r="A101" s="166">
        <v>93</v>
      </c>
      <c r="B101" s="262">
        <v>31</v>
      </c>
      <c r="C101" s="68">
        <v>25</v>
      </c>
      <c r="D101" s="68">
        <v>2</v>
      </c>
      <c r="E101" s="68">
        <v>2</v>
      </c>
      <c r="F101" s="68">
        <v>19</v>
      </c>
      <c r="G101" s="68">
        <v>1</v>
      </c>
      <c r="H101" s="68">
        <v>1</v>
      </c>
      <c r="I101" s="68">
        <v>6</v>
      </c>
      <c r="J101" s="68">
        <v>1</v>
      </c>
      <c r="K101" s="68">
        <v>4</v>
      </c>
      <c r="L101" s="68">
        <v>1</v>
      </c>
      <c r="M101" s="68">
        <v>0</v>
      </c>
      <c r="N101" s="68">
        <v>0</v>
      </c>
    </row>
    <row r="102" spans="1:14" s="41" customFormat="1" ht="15.75" customHeight="1">
      <c r="A102" s="166">
        <v>94</v>
      </c>
      <c r="B102" s="262">
        <v>18</v>
      </c>
      <c r="C102" s="68">
        <v>14</v>
      </c>
      <c r="D102" s="68">
        <v>1</v>
      </c>
      <c r="E102" s="68">
        <v>0</v>
      </c>
      <c r="F102" s="68">
        <v>12</v>
      </c>
      <c r="G102" s="68">
        <v>0</v>
      </c>
      <c r="H102" s="68">
        <v>1</v>
      </c>
      <c r="I102" s="68">
        <v>4</v>
      </c>
      <c r="J102" s="68">
        <v>0</v>
      </c>
      <c r="K102" s="68">
        <v>2</v>
      </c>
      <c r="L102" s="68">
        <v>2</v>
      </c>
      <c r="M102" s="68">
        <v>0</v>
      </c>
      <c r="N102" s="68">
        <v>0</v>
      </c>
    </row>
    <row r="103" spans="1:14" s="41" customFormat="1" ht="15.75" customHeight="1">
      <c r="A103" s="166">
        <v>95</v>
      </c>
      <c r="B103" s="262">
        <v>18</v>
      </c>
      <c r="C103" s="68">
        <v>17</v>
      </c>
      <c r="D103" s="68">
        <v>2</v>
      </c>
      <c r="E103" s="68">
        <v>2</v>
      </c>
      <c r="F103" s="68">
        <v>12</v>
      </c>
      <c r="G103" s="68">
        <v>0</v>
      </c>
      <c r="H103" s="68">
        <v>1</v>
      </c>
      <c r="I103" s="68">
        <v>1</v>
      </c>
      <c r="J103" s="68">
        <v>0</v>
      </c>
      <c r="K103" s="68">
        <v>1</v>
      </c>
      <c r="L103" s="68">
        <v>0</v>
      </c>
      <c r="M103" s="68">
        <v>0</v>
      </c>
      <c r="N103" s="68">
        <v>0</v>
      </c>
    </row>
    <row r="104" spans="1:14" s="41" customFormat="1" ht="15.75" customHeight="1">
      <c r="A104" s="166">
        <v>96</v>
      </c>
      <c r="B104" s="262">
        <v>12</v>
      </c>
      <c r="C104" s="68">
        <v>11</v>
      </c>
      <c r="D104" s="68">
        <v>1</v>
      </c>
      <c r="E104" s="68">
        <v>0</v>
      </c>
      <c r="F104" s="68">
        <v>10</v>
      </c>
      <c r="G104" s="68">
        <v>0</v>
      </c>
      <c r="H104" s="68">
        <v>0</v>
      </c>
      <c r="I104" s="68">
        <v>1</v>
      </c>
      <c r="J104" s="68">
        <v>0</v>
      </c>
      <c r="K104" s="68">
        <v>0</v>
      </c>
      <c r="L104" s="68">
        <v>1</v>
      </c>
      <c r="M104" s="68">
        <v>0</v>
      </c>
      <c r="N104" s="68">
        <v>0</v>
      </c>
    </row>
    <row r="105" spans="1:14" s="41" customFormat="1" ht="15.75" customHeight="1">
      <c r="A105" s="166">
        <v>97</v>
      </c>
      <c r="B105" s="262">
        <v>4</v>
      </c>
      <c r="C105" s="68">
        <v>3</v>
      </c>
      <c r="D105" s="68">
        <v>0</v>
      </c>
      <c r="E105" s="68">
        <v>0</v>
      </c>
      <c r="F105" s="68">
        <v>3</v>
      </c>
      <c r="G105" s="68">
        <v>0</v>
      </c>
      <c r="H105" s="68">
        <v>0</v>
      </c>
      <c r="I105" s="68">
        <v>1</v>
      </c>
      <c r="J105" s="68">
        <v>0</v>
      </c>
      <c r="K105" s="68">
        <v>0</v>
      </c>
      <c r="L105" s="68">
        <v>1</v>
      </c>
      <c r="M105" s="68">
        <v>0</v>
      </c>
      <c r="N105" s="68">
        <v>0</v>
      </c>
    </row>
    <row r="106" spans="1:14" s="41" customFormat="1" ht="15.75" customHeight="1">
      <c r="A106" s="166">
        <v>98</v>
      </c>
      <c r="B106" s="262">
        <v>5</v>
      </c>
      <c r="C106" s="68">
        <v>4</v>
      </c>
      <c r="D106" s="68">
        <v>1</v>
      </c>
      <c r="E106" s="68">
        <v>0</v>
      </c>
      <c r="F106" s="68">
        <v>3</v>
      </c>
      <c r="G106" s="68">
        <v>0</v>
      </c>
      <c r="H106" s="68">
        <v>0</v>
      </c>
      <c r="I106" s="68">
        <v>1</v>
      </c>
      <c r="J106" s="68">
        <v>0</v>
      </c>
      <c r="K106" s="68">
        <v>0</v>
      </c>
      <c r="L106" s="68">
        <v>1</v>
      </c>
      <c r="M106" s="68">
        <v>0</v>
      </c>
      <c r="N106" s="68">
        <v>0</v>
      </c>
    </row>
    <row r="107" spans="1:14" s="41" customFormat="1" ht="15.75" customHeight="1">
      <c r="A107" s="166">
        <v>99</v>
      </c>
      <c r="B107" s="262">
        <v>4</v>
      </c>
      <c r="C107" s="68">
        <v>2</v>
      </c>
      <c r="D107" s="68">
        <v>0</v>
      </c>
      <c r="E107" s="68">
        <v>0</v>
      </c>
      <c r="F107" s="68">
        <v>2</v>
      </c>
      <c r="G107" s="68">
        <v>0</v>
      </c>
      <c r="H107" s="68">
        <v>0</v>
      </c>
      <c r="I107" s="68">
        <v>2</v>
      </c>
      <c r="J107" s="68">
        <v>0</v>
      </c>
      <c r="K107" s="68">
        <v>1</v>
      </c>
      <c r="L107" s="68">
        <v>1</v>
      </c>
      <c r="M107" s="68">
        <v>0</v>
      </c>
      <c r="N107" s="68">
        <v>0</v>
      </c>
    </row>
    <row r="108" spans="1:14" s="41" customFormat="1" ht="15.75" customHeight="1" thickBot="1">
      <c r="A108" s="167">
        <v>100</v>
      </c>
      <c r="B108" s="263">
        <v>1</v>
      </c>
      <c r="C108" s="83">
        <v>1</v>
      </c>
      <c r="D108" s="83">
        <v>0</v>
      </c>
      <c r="E108" s="83">
        <v>0</v>
      </c>
      <c r="F108" s="83">
        <v>1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</row>
    <row r="109" spans="1:14" s="41" customFormat="1" ht="15.75" customHeight="1">
      <c r="A109" s="391" t="s">
        <v>635</v>
      </c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</row>
    <row r="110" s="41" customFormat="1" ht="15.75" customHeight="1"/>
    <row r="111" s="41" customFormat="1" ht="15.75" customHeight="1"/>
    <row r="112" s="41" customFormat="1" ht="15.75" customHeight="1"/>
    <row r="113" s="41" customFormat="1" ht="15.75" customHeight="1"/>
    <row r="114" s="41" customFormat="1" ht="15.75" customHeight="1"/>
    <row r="115" s="41" customFormat="1" ht="15.75" customHeight="1"/>
    <row r="116" s="41" customFormat="1" ht="15.75" customHeight="1"/>
    <row r="117" s="41" customFormat="1" ht="15.75" customHeight="1"/>
    <row r="118" s="41" customFormat="1" ht="15.75" customHeight="1"/>
    <row r="119" s="41" customFormat="1" ht="15.75" customHeight="1"/>
    <row r="120" s="41" customFormat="1" ht="15.75" customHeight="1"/>
    <row r="121" s="41" customFormat="1" ht="15.75" customHeight="1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</sheetData>
  <sheetProtection/>
  <mergeCells count="9">
    <mergeCell ref="J5:N5"/>
    <mergeCell ref="A109:N109"/>
    <mergeCell ref="A1:N1"/>
    <mergeCell ref="A2:N2"/>
    <mergeCell ref="A3:N3"/>
    <mergeCell ref="A4:A6"/>
    <mergeCell ref="C4:H4"/>
    <mergeCell ref="I4:N4"/>
    <mergeCell ref="D5:H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</dc:creator>
  <cp:keywords/>
  <dc:description/>
  <cp:lastModifiedBy>Schwarz Brigitte</cp:lastModifiedBy>
  <cp:lastPrinted>2020-07-17T09:09:57Z</cp:lastPrinted>
  <dcterms:created xsi:type="dcterms:W3CDTF">2001-10-22T05:33:56Z</dcterms:created>
  <dcterms:modified xsi:type="dcterms:W3CDTF">2020-09-24T13:26:49Z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