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80" yWindow="65386" windowWidth="20700" windowHeight="11640" tabRatio="753" activeTab="0"/>
  </bookViews>
  <sheets>
    <sheet name="Inhaltsverzeichnis" sheetId="1" r:id="rId1"/>
    <sheet name="Tabelle 1" sheetId="2" r:id="rId2"/>
    <sheet name="Tabelle 2" sheetId="3" r:id="rId3"/>
    <sheet name="Tabelle 3" sheetId="4" r:id="rId4"/>
    <sheet name="Tabelle 4" sheetId="5" r:id="rId5"/>
    <sheet name="Tabelle 5" sheetId="6" r:id="rId6"/>
    <sheet name="Tabelle 6" sheetId="7" r:id="rId7"/>
    <sheet name="Tabelle 7" sheetId="8" r:id="rId8"/>
    <sheet name="Tabelle 8" sheetId="9" r:id="rId9"/>
    <sheet name="Tabelle 9" sheetId="10" r:id="rId10"/>
    <sheet name="Tabelle 10" sheetId="11" r:id="rId11"/>
    <sheet name="Tabelle 11" sheetId="12" r:id="rId12"/>
    <sheet name="Tabelle 12" sheetId="13" r:id="rId13"/>
    <sheet name="Tabelle 13" sheetId="14" r:id="rId14"/>
    <sheet name="Tabelle 14" sheetId="15" r:id="rId15"/>
    <sheet name="Tabelle 15" sheetId="16" r:id="rId16"/>
    <sheet name="Tabelle 16" sheetId="17" r:id="rId17"/>
  </sheets>
  <definedNames>
    <definedName name="_Toc201461023" localSheetId="13">'Tabelle 13'!$A$1</definedName>
    <definedName name="_Toc201461023" localSheetId="14">'Tabelle 14'!$A$1</definedName>
    <definedName name="_xlnm.Print_Area" localSheetId="1">'Tabelle 1'!$A$1:$L$46</definedName>
    <definedName name="_xlnm.Print_Area" localSheetId="10">'Tabelle 10'!$A$1:$N$42</definedName>
    <definedName name="_xlnm.Print_Area" localSheetId="11">'Tabelle 11'!$A$1:$H$33</definedName>
    <definedName name="_xlnm.Print_Area" localSheetId="12">'Tabelle 12'!$A$1:$E$48</definedName>
    <definedName name="_xlnm.Print_Area" localSheetId="13">'Tabelle 13'!$A$1:$F$36</definedName>
    <definedName name="_xlnm.Print_Area" localSheetId="14">'Tabelle 14'!$A$1:$F$23</definedName>
    <definedName name="_xlnm.Print_Area" localSheetId="15">'Tabelle 15'!$A$1:$G$50</definedName>
    <definedName name="_xlnm.Print_Area" localSheetId="2">'Tabelle 2'!$A$1:$K$42</definedName>
    <definedName name="_xlnm.Print_Area" localSheetId="3">'Tabelle 3'!$A$1:$L$46</definedName>
    <definedName name="_xlnm.Print_Area" localSheetId="4">'Tabelle 4'!$A$1:$C$38</definedName>
    <definedName name="_xlnm.Print_Area" localSheetId="5">'Tabelle 5'!$A$1:$E$42</definedName>
    <definedName name="_xlnm.Print_Area" localSheetId="6">'Tabelle 6'!$A$1:$J$38</definedName>
    <definedName name="_xlnm.Print_Area" localSheetId="7">'Tabelle 7'!$A$1:$E$38</definedName>
    <definedName name="_xlnm.Print_Area" localSheetId="8">'Tabelle 8'!$A$1:$D$32</definedName>
    <definedName name="_xlnm.Print_Area" localSheetId="9">'Tabelle 9'!$A$1:$N$41</definedName>
  </definedNames>
  <calcPr fullCalcOnLoad="1"/>
</workbook>
</file>

<file path=xl/sharedStrings.xml><?xml version="1.0" encoding="utf-8"?>
<sst xmlns="http://schemas.openxmlformats.org/spreadsheetml/2006/main" count="857" uniqueCount="220">
  <si>
    <t>Jahr</t>
  </si>
  <si>
    <t>Elektrizität</t>
  </si>
  <si>
    <t>Brennholz</t>
  </si>
  <si>
    <t>Heizöl</t>
  </si>
  <si>
    <t>Benzin</t>
  </si>
  <si>
    <t>Erdgas</t>
  </si>
  <si>
    <t>Flüssiggas</t>
  </si>
  <si>
    <t>Total</t>
  </si>
  <si>
    <t>Energieverbrauch bzw. -import</t>
  </si>
  <si>
    <t>Andere</t>
  </si>
  <si>
    <t>-</t>
  </si>
  <si>
    <t>2004</t>
  </si>
  <si>
    <t>Erläuterung zur Tabelle:</t>
  </si>
  <si>
    <t>Import</t>
  </si>
  <si>
    <t>Export</t>
  </si>
  <si>
    <t>Stromproduktion</t>
  </si>
  <si>
    <t>.</t>
  </si>
  <si>
    <t>Stromproduktion mit Wasserkraft</t>
  </si>
  <si>
    <t>Schlosswald</t>
  </si>
  <si>
    <t>Letzana</t>
  </si>
  <si>
    <t>Steia</t>
  </si>
  <si>
    <t>Maree</t>
  </si>
  <si>
    <t>Stieg</t>
  </si>
  <si>
    <t xml:space="preserve">Wissa Stä </t>
  </si>
  <si>
    <t>Januar</t>
  </si>
  <si>
    <t>Februar</t>
  </si>
  <si>
    <t>März</t>
  </si>
  <si>
    <t>April</t>
  </si>
  <si>
    <t>Mai</t>
  </si>
  <si>
    <t>Juni</t>
  </si>
  <si>
    <t>Juli</t>
  </si>
  <si>
    <t>August</t>
  </si>
  <si>
    <t>MWh</t>
  </si>
  <si>
    <r>
      <t>m</t>
    </r>
    <r>
      <rPr>
        <vertAlign val="superscript"/>
        <sz val="8"/>
        <rFont val="Arial"/>
        <family val="2"/>
      </rPr>
      <t>2</t>
    </r>
  </si>
  <si>
    <t>September</t>
  </si>
  <si>
    <t>Oktober</t>
  </si>
  <si>
    <t>November</t>
  </si>
  <si>
    <t>Dezember</t>
  </si>
  <si>
    <t>Quelle: Schweizerischer Landesindex der Konsumentenpreise</t>
  </si>
  <si>
    <t xml:space="preserve">Jahr  </t>
  </si>
  <si>
    <t>Tarifgruppe</t>
  </si>
  <si>
    <t>Arbeitspreis Rp./kWh (Ho)</t>
  </si>
  <si>
    <t>Grundpreis pro Jahr in CHF</t>
  </si>
  <si>
    <t>Quelle: Liechtensteinische Gasversorgung LGV, Schaan</t>
  </si>
  <si>
    <r>
      <t>Ab 1.1.2008 zuzüglich CO</t>
    </r>
    <r>
      <rPr>
        <vertAlign val="subscript"/>
        <sz val="8"/>
        <rFont val="Arial"/>
        <family val="2"/>
      </rPr>
      <t>2</t>
    </r>
    <r>
      <rPr>
        <sz val="8"/>
        <rFont val="Arial"/>
        <family val="2"/>
      </rPr>
      <t xml:space="preserve">-Abgabe von 0.2157 Rp/kWh </t>
    </r>
  </si>
  <si>
    <t>Stichtag</t>
  </si>
  <si>
    <t>Tarif</t>
  </si>
  <si>
    <t>Preiskategorie</t>
  </si>
  <si>
    <t>Hochpreis</t>
  </si>
  <si>
    <t>Energiepreis</t>
  </si>
  <si>
    <t>Netzbenutzungspreis</t>
  </si>
  <si>
    <t>Insgesamt</t>
  </si>
  <si>
    <t>Niederpreis</t>
  </si>
  <si>
    <t>Quelle: Liechtensteinische Kraftwerke, Schaan</t>
  </si>
  <si>
    <t>Hoch- und Niederpreis</t>
  </si>
  <si>
    <t>Heizöl: Ab 2006 genauere Erhebungsmethode bei den schweizerischen Grossisten und den liechtensteinischen Heizölhändlern.</t>
  </si>
  <si>
    <t>Holz</t>
  </si>
  <si>
    <t>pro Einwohner</t>
  </si>
  <si>
    <t>Stromproduktion und -verbrauch in MWh</t>
  </si>
  <si>
    <t>Energieverbrauch bzw. -import pro Einwohner in MWh</t>
  </si>
  <si>
    <t>Stromproduktion mit Blockheizkraftwerken in MWh</t>
  </si>
  <si>
    <t>Stromproduktion mit Wasserkraft in MWh</t>
  </si>
  <si>
    <t>Angaben für Heizöl Extraleicht</t>
  </si>
  <si>
    <t>Fotovoltaik</t>
  </si>
  <si>
    <t>Mühleholzquellen</t>
  </si>
  <si>
    <t>Kollektorfläche</t>
  </si>
  <si>
    <t>Wärmeertrag</t>
  </si>
  <si>
    <t>bis 10000</t>
  </si>
  <si>
    <t>Jahresdurchschnitt</t>
  </si>
  <si>
    <t>bis 1200</t>
  </si>
  <si>
    <t xml:space="preserve">1200 - 3600  </t>
  </si>
  <si>
    <t>3600 - 7200</t>
  </si>
  <si>
    <t>7200 - 14400</t>
  </si>
  <si>
    <t>Produktion
im Inland</t>
  </si>
  <si>
    <t>Verbrauch
im Inland</t>
  </si>
  <si>
    <t>Biogas
Blockheiz-
kraftwerke</t>
  </si>
  <si>
    <t>Lawena und Samina</t>
  </si>
  <si>
    <t>Holzpellets</t>
  </si>
  <si>
    <t>Biogas</t>
  </si>
  <si>
    <t>Wärmeproduktion</t>
  </si>
  <si>
    <t>Energieerzeugung mit thermischen Sonnenkollektoren</t>
  </si>
  <si>
    <t>Zugang</t>
  </si>
  <si>
    <t>Bestand</t>
  </si>
  <si>
    <t>Diesel</t>
  </si>
  <si>
    <t>Einheimisches Brennholz</t>
  </si>
  <si>
    <t>Tabelle 1</t>
  </si>
  <si>
    <t>Tabelle 2</t>
  </si>
  <si>
    <t>Tabelle 3</t>
  </si>
  <si>
    <t>Tabelle 4</t>
  </si>
  <si>
    <t>Tabelle 5</t>
  </si>
  <si>
    <t>Tabelle 6</t>
  </si>
  <si>
    <t>Tabelle 7</t>
  </si>
  <si>
    <t>Tabelle 8</t>
  </si>
  <si>
    <t>Tabelle 9</t>
  </si>
  <si>
    <t>Tabelle 10</t>
  </si>
  <si>
    <t>Tabelle 11</t>
  </si>
  <si>
    <t>Tabelle 12</t>
  </si>
  <si>
    <t>Tabelle 13</t>
  </si>
  <si>
    <t>Sonnen-
kollektoren</t>
  </si>
  <si>
    <t>Flüssig-
gas</t>
  </si>
  <si>
    <t>Wasserkopfquellen</t>
  </si>
  <si>
    <r>
      <t>Ab 1.1.2010 zuzüglich CO</t>
    </r>
    <r>
      <rPr>
        <vertAlign val="subscript"/>
        <sz val="8"/>
        <rFont val="Arial"/>
        <family val="2"/>
      </rPr>
      <t>2</t>
    </r>
    <r>
      <rPr>
        <sz val="8"/>
        <rFont val="Arial"/>
        <family val="2"/>
      </rPr>
      <t xml:space="preserve">-Abgabe von 0.6471 Rp/kWh </t>
    </r>
  </si>
  <si>
    <t>Schaaner Quellen</t>
  </si>
  <si>
    <r>
      <t>Preise inklusive Mehrwertsteuer und CO</t>
    </r>
    <r>
      <rPr>
        <vertAlign val="subscript"/>
        <sz val="8"/>
        <rFont val="Arial"/>
        <family val="2"/>
      </rPr>
      <t>2</t>
    </r>
    <r>
      <rPr>
        <sz val="8"/>
        <rFont val="Arial"/>
        <family val="2"/>
      </rPr>
      <t>-Abgabe</t>
    </r>
  </si>
  <si>
    <t>t</t>
  </si>
  <si>
    <t>Jährlicher Energieverbrauch in kWh</t>
  </si>
  <si>
    <t>Heizölpreise</t>
  </si>
  <si>
    <t>Bezugsmenge in Liter</t>
  </si>
  <si>
    <t>Meierhof</t>
  </si>
  <si>
    <t>ab 01.01.2012</t>
  </si>
  <si>
    <t>ab 01.04.2007</t>
  </si>
  <si>
    <t>ab 01.01.2013</t>
  </si>
  <si>
    <t>Im Netzbenutzungspreis sind insbesondere folgende Leistungen enthalten:</t>
  </si>
  <si>
    <t>Jahresbezugsmenge in kWh (Brennwert Ho)</t>
  </si>
  <si>
    <t>Die Erdgaspreise beziehen sich auf den Brennwert Ho (Heizwert = 0.9 x Brennwert).</t>
  </si>
  <si>
    <t>Energieerzeugung aus einheimischen Quellen in MWh</t>
  </si>
  <si>
    <t>10001 - 50000</t>
  </si>
  <si>
    <t>50001 - 100000</t>
  </si>
  <si>
    <t>100001 - 200000</t>
  </si>
  <si>
    <t>3001 - 6000</t>
  </si>
  <si>
    <t>6001 - 9000</t>
  </si>
  <si>
    <t>9001 - 14000</t>
  </si>
  <si>
    <t>14001 - 20000</t>
  </si>
  <si>
    <t>- Die Netzinfrastruktur, d.h. die Bereitstellung und Instandhaltung von Leitungen, Schaltanlagen, Transformatoren usw.</t>
  </si>
  <si>
    <t>- Die elektrischen Verluste, d.h. die beim Transport von Strom entstehenden Verluste bis zur Entnahmestelle des Kunden</t>
  </si>
  <si>
    <t>- Die Messdienstleistungen</t>
  </si>
  <si>
    <t>- Die Bereitstellung von Blindenergie sowie Ausgleichsenergie</t>
  </si>
  <si>
    <t>- Die Systemdienstleistungen, d.h. Dienstleistungen, die zur Übertragung und Verteilung des Stroms notwendig sind und die
  Funktionstüchtigkeit und Qualität der Stromversorgung bestimmen</t>
  </si>
  <si>
    <t>Benzin: Bis 1999 wird die importierte Benzinmenge gemäss den Angaben der Grosshändler ausgewiesen. Ab 2000 werden die Benzinverkäufe an den liechtensteinischen Tankstellen ausgewiesen, die vom Amt für Umwelt erfasst werden.</t>
  </si>
  <si>
    <t>Diesel: Bis 2002 wird die importierte Dieselmenge gemäss den Angaben der Grosshändler ausgewiesen. Ab 2003 werden die Dieselmengen an den liechtensteinischen Tanksäulen ausgewiesen, die vom Amt für Umwelt erfasst werden.</t>
  </si>
  <si>
    <t>Andere: Bis 2011 Kohle, ab 2013 Biogas (Heizwert) der Abwasserreinigungsanlage (ARA) Bendern, welches seit Dezember 2013 in das Erdgasnetz der Liechtensteinischen Gasversorgung eingeleitet wird.</t>
  </si>
  <si>
    <t>Kollektorfläche: Bruttofläche der Kollektoren, für die aufgrund des Energieeffizienzgesetzes eine Subvention zugesichert wurde.</t>
  </si>
  <si>
    <t>Fernwärme aus Kehricht</t>
  </si>
  <si>
    <t>Tabelle 14</t>
  </si>
  <si>
    <t>Erdgaspreis
 Rp/kWh (Ho)</t>
  </si>
  <si>
    <r>
      <t>CO</t>
    </r>
    <r>
      <rPr>
        <vertAlign val="subscript"/>
        <sz val="8"/>
        <rFont val="Arial"/>
        <family val="2"/>
      </rPr>
      <t>2</t>
    </r>
    <r>
      <rPr>
        <sz val="8"/>
        <rFont val="Arial"/>
        <family val="2"/>
      </rPr>
      <t>-Abgabe
 Rp/kWh (Ho)</t>
    </r>
  </si>
  <si>
    <t>Erdgaspreis</t>
  </si>
  <si>
    <t>Netzbenutzung</t>
  </si>
  <si>
    <t>Systemdienstleistung
CHF/Jahr</t>
  </si>
  <si>
    <t>Arbeitspreis
 Rp/kWh (Ho)</t>
  </si>
  <si>
    <t>Leistungspreis
CHF/kWh (Ho)/Tag</t>
  </si>
  <si>
    <t>Erdgaspreis bei einem Jahresverbrauch bis 200000 kWh (Brennwert Ho).</t>
  </si>
  <si>
    <t>Lawena und Samina: Das Wasserkraftwerk Samina ist seit 23. Januar 2015 nach einer Gesamterneuerung wieder in Betrieb.</t>
  </si>
  <si>
    <t>Das Wasserkraftwerk Samina ist seit 23. Januar 2015 nach einer Gesamterneuerung wieder in Betrieb.</t>
  </si>
  <si>
    <t>Erdgaspreise für Haushalte und Kleingewerbe seit 2015</t>
  </si>
  <si>
    <t>ab 01.01.2015</t>
  </si>
  <si>
    <t>ab 01.07.2015</t>
  </si>
  <si>
    <t>Alle Angaben ohne Mehrwertsteuer.</t>
  </si>
  <si>
    <t>Abzüglich Pumpenergie für Saminakraftwerk</t>
  </si>
  <si>
    <t>Wärmeproduktion aus einheimischen Quellen in MWh</t>
  </si>
  <si>
    <t>Stromproduktion
aus
Wasserkraft</t>
  </si>
  <si>
    <t>Wäldle Balzers</t>
  </si>
  <si>
    <t>Tabelle 15</t>
  </si>
  <si>
    <t>Stromproduktion: Die Stromproduktion aus einheimischen Energiequellen entspricht der Stromproduktion im Inland (Tabelle 5) abzüglich der Pumpenergie für das Saminakraftwerk und abzüglich der Stromproduktion mit Erdgas (Tabelle 8), weil es sich beim Erdgas nicht um eine einheimische Energiequelle handelt.</t>
  </si>
  <si>
    <t>Produktion im Inland: Die Stromproduktion im Inland entspricht der Stromproduktion aus Fotovoltaik (Tabelle 6), der Stromproduktion aus Blockheizkraftwerken (Tabelle 8) und der Stromproduktion aus Wasserkraft (Tabelle 9).</t>
  </si>
  <si>
    <t>ab 01.01.2016</t>
  </si>
  <si>
    <t>ab 01.04.2016</t>
  </si>
  <si>
    <t>ab 01.10.2016</t>
  </si>
  <si>
    <t>Biogas: Wärmeproduktion aus der Abwasserreinigungsanlage (ARA) Bendern. Das Biogas wird seit Dezember 2013 in das Erdgasnetz der Liechtensteinischen Gasversorgung eingeleitet.</t>
  </si>
  <si>
    <t>bis 1000</t>
  </si>
  <si>
    <t xml:space="preserve">1000 - 2500  </t>
  </si>
  <si>
    <t>2500 - 5000</t>
  </si>
  <si>
    <t>5000 - 15000</t>
  </si>
  <si>
    <r>
      <t>Ab 1.1.2014 zuzüglich CO</t>
    </r>
    <r>
      <rPr>
        <vertAlign val="subscript"/>
        <sz val="8"/>
        <rFont val="Arial"/>
        <family val="2"/>
      </rPr>
      <t>2</t>
    </r>
    <r>
      <rPr>
        <sz val="8"/>
        <rFont val="Arial"/>
        <family val="2"/>
      </rPr>
      <t xml:space="preserve">-Abgabe von 1.0930 Rp/kWh </t>
    </r>
  </si>
  <si>
    <t>01.05.2009 - 31.07.2013</t>
  </si>
  <si>
    <t>01.08.2013 - 31.01.2015</t>
  </si>
  <si>
    <t>Tabelle 16</t>
  </si>
  <si>
    <t>Strompreise für Haushalte und Kleingewerbe ab 2016</t>
  </si>
  <si>
    <t>Förderabgabe für erneuerbare Energien</t>
  </si>
  <si>
    <t>Der Strompreis setzt sich zusammen aus dem Energiepreis, dem Netzbenutzungspreis, der Förderabgabe für erneuerbare Energien und der Mehrwertsteuer.</t>
  </si>
  <si>
    <t>01.02.2015 - 31.12.2015</t>
  </si>
  <si>
    <t>davon Eigenverbrauch</t>
  </si>
  <si>
    <t>Das Kraftwerk Kopfquellen Balzers wurde in Wäldle Balzers umbenannt.</t>
  </si>
  <si>
    <t>Wasserkraft aus einheimischen Quellen</t>
  </si>
  <si>
    <t>CHF/100 Liter</t>
  </si>
  <si>
    <t>01.01.2016 - 31.12.2016</t>
  </si>
  <si>
    <t>ab 01.01.2017</t>
  </si>
  <si>
    <t>ab 01.04.2017</t>
  </si>
  <si>
    <t>ab 01.10.2017</t>
  </si>
  <si>
    <t>Das Kraftwerk Wissa Stä wurde seit dem Jahr 2016 grösstenteils im Selbstversorgungs-Modus betrieben.</t>
  </si>
  <si>
    <t>Preise der Liechtensteinischen Gasversorgung LGV. Preise von anderen Anbietern nicht berücksichtigt.</t>
  </si>
  <si>
    <t>ab 01.01.2018</t>
  </si>
  <si>
    <t>ab 01.10.2018</t>
  </si>
  <si>
    <t>Anlagen</t>
  </si>
  <si>
    <t xml:space="preserve">Anzahl </t>
  </si>
  <si>
    <t xml:space="preserve"> Anlagen</t>
  </si>
  <si>
    <t>Anzahl</t>
  </si>
  <si>
    <t>Stromproduktion der Wasserkraftwerke Samina und Lawena nach Monat in MWh</t>
  </si>
  <si>
    <t>Monat</t>
  </si>
  <si>
    <t>Anlagen: Die Anlagen werden im Jahr der Förderungszusicherung gezählt.</t>
  </si>
  <si>
    <t>Energieverbrauch bzw. -import nach Energieträgern – in MWh</t>
  </si>
  <si>
    <t>Energieverbrauch bzw. -import nach Energieträgern – Anteile in Prozent</t>
  </si>
  <si>
    <t xml:space="preserve">Holz: Ab 2009 inklusive Holzpellets. </t>
  </si>
  <si>
    <t>Energieverbrauch bzw. -import nach Energieträgern – in Handelseinheiten</t>
  </si>
  <si>
    <t>Erdgaspreise für Haushalte und Kleingewerbe der Jahre 2004 bis 2014</t>
  </si>
  <si>
    <t>Strompreise für Haushalte und Kleingewerbe der Jahre 2007 bis 2015</t>
  </si>
  <si>
    <t>Hochpreiszeit: Montag - Freitag 07.00 - 20.00 Uhr, Samstag 07.00 - 13.00 Uhr</t>
  </si>
  <si>
    <t>Niederpreiszeit: übrige Zeit</t>
  </si>
  <si>
    <t>Monatswerte des Jahres 2019</t>
  </si>
  <si>
    <t>KW Steia seit 2017 wegen Generatordefekt ausser Betrieb, seit Ende 2019 wieder in Betrieb.</t>
  </si>
  <si>
    <t>ab 01.01.2019</t>
  </si>
  <si>
    <t>ab 01.10.2019</t>
  </si>
  <si>
    <t>Seit 2018 werden Anlagen, die älter als 20 Jahre sind, aufgrund einer erwarteten Lebensdauer von 20 Jahren vom Bestand abgezählt. Im Jahr 2019 wurde der Zugang von 1998 bei der Berechnung des Bestandes 2019 in Abzug gebracht.</t>
  </si>
  <si>
    <t>Holz: Ab 2009 inklusive Holzpellets. Der Anteil der Holzpellets betrug im Jahr 2019 9380 MWh.</t>
  </si>
  <si>
    <t>Fernwärme aus Kehricht: Jahr 2018 besteht aus 115 089 MWh Dampf und 863 MWh Wärme, Jahr 2019 besteht aus 117458 MWh Dampf und 2436 MWh Wärme.</t>
  </si>
  <si>
    <t>Einwohner: Ständige Bevölkerung gemäss Bevölkerungsstatistik per 31. Dezember.</t>
  </si>
  <si>
    <t>Für das aktuelle Jahr werden die vorläufigen Ergebnisse per 31. Dezember verwendet.</t>
  </si>
  <si>
    <t>Erdgas und Biogas: Es wird der international übliche Heizwert ausgewiesen. Der Heizwert liegt 10% unter dem Brennwert (Heizwert = 0.9 x Brennwert).</t>
  </si>
  <si>
    <t>Fotovoltaik: Installierte Leistung: Jahr 2009 1800 kWp, Jahr 2010 4300 kWp, Jahr 2011 7000 kWp, Jahr 2012 10500 kWp, 
Jahr 2013 15333 kWp, Jahr 2014 17965 kWp, Jahr 2015 20184 kWp, 2016 21875 kWp, 2017 23758 kWp., 2018 25473 kWp, Jahr 2019 27576 kWp</t>
  </si>
  <si>
    <t>Einheimisches Brennholz: Das einheimische Brennholz wird ohne Holzpellets ausgewiesen, da diese im Ausland hergestellt werden.</t>
  </si>
  <si>
    <t>Mühleholzquellen: Vormals Jenny-Spoerry, Januar 2002 bis Juni 2004 nicht in Betrieb.</t>
  </si>
  <si>
    <r>
      <t>Wärmeertrag: 450 kWh pro m</t>
    </r>
    <r>
      <rPr>
        <vertAlign val="superscript"/>
        <sz val="8"/>
        <rFont val="Arial"/>
        <family val="2"/>
      </rPr>
      <t>2</t>
    </r>
    <r>
      <rPr>
        <sz val="8"/>
        <rFont val="Arial"/>
        <family val="2"/>
      </rPr>
      <t xml:space="preserve"> Kollektorfläche.</t>
    </r>
  </si>
  <si>
    <t>Preise in Rp./kWh (ohne MWST)</t>
  </si>
  <si>
    <t>Preis der gelieferten Energie des günstigsten Stromprodukts in Rappen pro Kilowattstunde (kWh) ohne MWST.</t>
  </si>
  <si>
    <t>Im Netzbenutzungspreis sind die Energiekosten und die Mehrwertsteuer (MWST) nicht enthalten.</t>
  </si>
  <si>
    <t>Rp./kWh (ohne MWST)</t>
  </si>
  <si>
    <t>Titel</t>
  </si>
  <si>
    <t>Tabelle</t>
  </si>
  <si>
    <t>Energieverbrauch bzw. -import nach Energieträgern - in Handelseinheiten</t>
  </si>
  <si>
    <t>Tabellen der Energiestatistik 2019</t>
  </si>
</sst>
</file>

<file path=xl/styles.xml><?xml version="1.0" encoding="utf-8"?>
<styleSheet xmlns="http://schemas.openxmlformats.org/spreadsheetml/2006/main">
  <numFmts count="51">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_ * #,##0.0_ ;_ * \-#,##0.0_ ;_ * &quot;-&quot;??_ ;_ @_ "/>
    <numFmt numFmtId="165" formatCode="0.0%"/>
    <numFmt numFmtId="166" formatCode="_ * #,##0.000_ ;_ * \-#,##0.000_ ;_ * &quot;-&quot;??_ ;_ @_ "/>
    <numFmt numFmtId="167" formatCode="_ * #,##0_ ;_ * \-#,##0_ ;_ * &quot;-&quot;??_ ;_ @_ "/>
    <numFmt numFmtId="168" formatCode="0.0"/>
    <numFmt numFmtId="169" formatCode="\(0.0%\)"/>
    <numFmt numFmtId="170" formatCode="0.0%\ "/>
    <numFmt numFmtId="171" formatCode="#\ ##0\ \ "/>
    <numFmt numFmtId="172" formatCode="_ * #,##0\ \ \ _ ;_ * \-#,##0_ ;_ * &quot;-&quot;_ ;_ @_ \ "/>
    <numFmt numFmtId="173" formatCode="#,##0.00\ \ \ ;#,##0.0"/>
    <numFmt numFmtId="174" formatCode="0.000"/>
    <numFmt numFmtId="175" formatCode="###0.0"/>
    <numFmt numFmtId="176" formatCode="###0.00;###0.0"/>
    <numFmt numFmtId="177" formatCode="0.000000%"/>
    <numFmt numFmtId="178" formatCode="_ * ###0_ ;_ * \-###0_ ;_ * &quot;-&quot;??_ ;_ @_ "/>
    <numFmt numFmtId="179" formatCode="_ * #,##0.000_ ;_ * \-#,##0.000_ ;_ * &quot;-&quot;_ ;_ @_ "/>
    <numFmt numFmtId="180" formatCode="#,##0_ ;\-#,##0\ "/>
    <numFmt numFmtId="181" formatCode="&quot;Ja&quot;;&quot;Ja&quot;;&quot;Nein&quot;"/>
    <numFmt numFmtId="182" formatCode="&quot;Wahr&quot;;&quot;Wahr&quot;;&quot;Falsch&quot;"/>
    <numFmt numFmtId="183" formatCode="&quot;Ein&quot;;&quot;Ein&quot;;&quot;Aus&quot;"/>
    <numFmt numFmtId="184" formatCode="[$€-2]\ #,##0.00_);[Red]\([$€-2]\ #,##0.00\)"/>
    <numFmt numFmtId="185" formatCode="0.00000"/>
    <numFmt numFmtId="186" formatCode="0.0000"/>
    <numFmt numFmtId="187" formatCode="#,##0.000000"/>
    <numFmt numFmtId="188" formatCode="#,##0.000"/>
    <numFmt numFmtId="189" formatCode="_ * #,##0.00000_ ;_ * \-#,##0.00000_ ;_ * &quot;-&quot;??_ ;_ @_ "/>
    <numFmt numFmtId="190" formatCode="0_ ;\-0\ "/>
    <numFmt numFmtId="191" formatCode="0.0000000000000000%"/>
    <numFmt numFmtId="192" formatCode="_ * #,##0.0_ ;_ * \-#,##0.0_ ;_ * &quot;-&quot;?_ ;_ @_ "/>
    <numFmt numFmtId="193" formatCode="###0.00"/>
    <numFmt numFmtId="194" formatCode="###0.000"/>
    <numFmt numFmtId="195" formatCode="#,##0.00000_ ;\-#,##0.00000\ "/>
    <numFmt numFmtId="196" formatCode="_ * #,##0.000_ ;_ * \-#,##0.000_ ;_ * &quot;-&quot;???_ ;_ @_ "/>
    <numFmt numFmtId="197" formatCode="#,##0.0"/>
    <numFmt numFmtId="198" formatCode="_ * #,##0.0000_ ;_ * \-#,##0.0000_ ;_ * &quot;-&quot;??_ ;_ @_ "/>
    <numFmt numFmtId="199" formatCode="#,##0.00_ ;\-#,##0.00\ "/>
    <numFmt numFmtId="200" formatCode="#,##0.000_ ;\-#,##0.000\ "/>
    <numFmt numFmtId="201" formatCode="0.000000000000000%"/>
    <numFmt numFmtId="202" formatCode="0.0000000000000%"/>
    <numFmt numFmtId="203" formatCode="#,##0.0_ ;\-#,##0.0\ "/>
    <numFmt numFmtId="204" formatCode="#,##0.0;\-#,##0.0"/>
    <numFmt numFmtId="205" formatCode="dd\.mm\.yy"/>
    <numFmt numFmtId="206" formatCode="0000.0000"/>
  </numFmts>
  <fonts count="54">
    <font>
      <sz val="10"/>
      <name val="Arial"/>
      <family val="0"/>
    </font>
    <font>
      <sz val="11"/>
      <color indexed="63"/>
      <name val="Frutiger LT Pro 55 Standard"/>
      <family val="2"/>
    </font>
    <font>
      <sz val="8"/>
      <name val="Arial"/>
      <family val="2"/>
    </font>
    <font>
      <sz val="9"/>
      <name val="Arial"/>
      <family val="2"/>
    </font>
    <font>
      <b/>
      <sz val="10"/>
      <name val="Arial"/>
      <family val="2"/>
    </font>
    <font>
      <sz val="11"/>
      <name val="Arial"/>
      <family val="2"/>
    </font>
    <font>
      <b/>
      <sz val="8"/>
      <name val="Arial"/>
      <family val="2"/>
    </font>
    <font>
      <sz val="8.5"/>
      <name val="Arial"/>
      <family val="2"/>
    </font>
    <font>
      <vertAlign val="superscript"/>
      <sz val="8"/>
      <name val="Arial"/>
      <family val="2"/>
    </font>
    <font>
      <vertAlign val="subscript"/>
      <sz val="8"/>
      <name val="Arial"/>
      <family val="2"/>
    </font>
    <font>
      <sz val="8"/>
      <color indexed="55"/>
      <name val="Arial"/>
      <family val="2"/>
    </font>
    <font>
      <u val="single"/>
      <sz val="8"/>
      <name val="Arial"/>
      <family val="2"/>
    </font>
    <font>
      <sz val="9"/>
      <name val="Arial Narrow"/>
      <family val="2"/>
    </font>
    <font>
      <sz val="11"/>
      <color indexed="9"/>
      <name val="Frutiger LT Pro 55 Standard"/>
      <family val="2"/>
    </font>
    <font>
      <b/>
      <sz val="11"/>
      <color indexed="63"/>
      <name val="Frutiger LT Pro 55 Standard"/>
      <family val="2"/>
    </font>
    <font>
      <b/>
      <sz val="11"/>
      <color indexed="52"/>
      <name val="Frutiger LT Pro 55 Standard"/>
      <family val="2"/>
    </font>
    <font>
      <u val="single"/>
      <sz val="10"/>
      <color indexed="20"/>
      <name val="Arial"/>
      <family val="2"/>
    </font>
    <font>
      <sz val="11"/>
      <color indexed="62"/>
      <name val="Frutiger LT Pro 55 Standard"/>
      <family val="2"/>
    </font>
    <font>
      <i/>
      <sz val="11"/>
      <color indexed="23"/>
      <name val="Frutiger LT Pro 55 Standard"/>
      <family val="2"/>
    </font>
    <font>
      <sz val="11"/>
      <color indexed="58"/>
      <name val="Frutiger LT Pro 55 Standard"/>
      <family val="2"/>
    </font>
    <font>
      <u val="single"/>
      <sz val="10"/>
      <color indexed="12"/>
      <name val="Arial"/>
      <family val="2"/>
    </font>
    <font>
      <sz val="11"/>
      <color indexed="63"/>
      <name val="Calibri"/>
      <family val="2"/>
    </font>
    <font>
      <sz val="11"/>
      <color indexed="16"/>
      <name val="Frutiger LT Pro 55 Standard"/>
      <family val="2"/>
    </font>
    <font>
      <sz val="11"/>
      <color indexed="20"/>
      <name val="Frutiger LT Pro 55 Standard"/>
      <family val="2"/>
    </font>
    <font>
      <b/>
      <sz val="18"/>
      <color indexed="62"/>
      <name val="Cambria"/>
      <family val="2"/>
    </font>
    <font>
      <b/>
      <sz val="15"/>
      <color indexed="62"/>
      <name val="Frutiger LT Pro 55 Standard"/>
      <family val="2"/>
    </font>
    <font>
      <b/>
      <sz val="13"/>
      <color indexed="62"/>
      <name val="Frutiger LT Pro 55 Standard"/>
      <family val="2"/>
    </font>
    <font>
      <b/>
      <sz val="11"/>
      <color indexed="62"/>
      <name val="Frutiger LT Pro 55 Standard"/>
      <family val="2"/>
    </font>
    <font>
      <sz val="11"/>
      <color indexed="52"/>
      <name val="Frutiger LT Pro 55 Standard"/>
      <family val="2"/>
    </font>
    <font>
      <sz val="11"/>
      <color indexed="10"/>
      <name val="Frutiger LT Pro 55 Standard"/>
      <family val="2"/>
    </font>
    <font>
      <b/>
      <sz val="11"/>
      <color indexed="9"/>
      <name val="Frutiger LT Pro 55 Standard"/>
      <family val="2"/>
    </font>
    <font>
      <b/>
      <sz val="16"/>
      <name val="Arial"/>
      <family val="2"/>
    </font>
    <font>
      <b/>
      <sz val="14"/>
      <name val="Arial"/>
      <family val="2"/>
    </font>
    <font>
      <sz val="11"/>
      <color theme="1"/>
      <name val="Frutiger LT Pro 55 Standard"/>
      <family val="2"/>
    </font>
    <font>
      <sz val="11"/>
      <color theme="0"/>
      <name val="Frutiger LT Pro 55 Standard"/>
      <family val="2"/>
    </font>
    <font>
      <b/>
      <sz val="11"/>
      <color rgb="FF3F3F3F"/>
      <name val="Frutiger LT Pro 55 Standard"/>
      <family val="2"/>
    </font>
    <font>
      <b/>
      <sz val="11"/>
      <color rgb="FFFA7D00"/>
      <name val="Frutiger LT Pro 55 Standard"/>
      <family val="2"/>
    </font>
    <font>
      <u val="single"/>
      <sz val="10"/>
      <color theme="11"/>
      <name val="Arial"/>
      <family val="2"/>
    </font>
    <font>
      <sz val="11"/>
      <color rgb="FF3F3F76"/>
      <name val="Frutiger LT Pro 55 Standard"/>
      <family val="2"/>
    </font>
    <font>
      <b/>
      <sz val="11"/>
      <color theme="1"/>
      <name val="Frutiger LT Pro 55 Standard"/>
      <family val="2"/>
    </font>
    <font>
      <i/>
      <sz val="11"/>
      <color rgb="FF7F7F7F"/>
      <name val="Frutiger LT Pro 55 Standard"/>
      <family val="2"/>
    </font>
    <font>
      <sz val="11"/>
      <color rgb="FF006100"/>
      <name val="Frutiger LT Pro 55 Standard"/>
      <family val="2"/>
    </font>
    <font>
      <u val="single"/>
      <sz val="10"/>
      <color theme="10"/>
      <name val="Arial"/>
      <family val="2"/>
    </font>
    <font>
      <sz val="11"/>
      <color rgb="FF000000"/>
      <name val="Calibri"/>
      <family val="2"/>
    </font>
    <font>
      <sz val="11"/>
      <color theme="1"/>
      <name val="Calibri"/>
      <family val="2"/>
    </font>
    <font>
      <sz val="11"/>
      <color rgb="FF9C6500"/>
      <name val="Frutiger LT Pro 55 Standard"/>
      <family val="2"/>
    </font>
    <font>
      <sz val="11"/>
      <color rgb="FF9C0006"/>
      <name val="Frutiger LT Pro 55 Standard"/>
      <family val="2"/>
    </font>
    <font>
      <b/>
      <sz val="18"/>
      <color theme="3"/>
      <name val="Cambria"/>
      <family val="2"/>
    </font>
    <font>
      <b/>
      <sz val="15"/>
      <color theme="3"/>
      <name val="Frutiger LT Pro 55 Standard"/>
      <family val="2"/>
    </font>
    <font>
      <b/>
      <sz val="13"/>
      <color theme="3"/>
      <name val="Frutiger LT Pro 55 Standard"/>
      <family val="2"/>
    </font>
    <font>
      <b/>
      <sz val="11"/>
      <color theme="3"/>
      <name val="Frutiger LT Pro 55 Standard"/>
      <family val="2"/>
    </font>
    <font>
      <sz val="11"/>
      <color rgb="FFFA7D00"/>
      <name val="Frutiger LT Pro 55 Standard"/>
      <family val="2"/>
    </font>
    <font>
      <sz val="11"/>
      <color rgb="FFFF0000"/>
      <name val="Frutiger LT Pro 55 Standard"/>
      <family val="2"/>
    </font>
    <font>
      <b/>
      <sz val="11"/>
      <color theme="0"/>
      <name val="Frutiger LT Pro 55 Standard"/>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60"/>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hair"/>
    </border>
    <border>
      <left/>
      <right/>
      <top style="hair"/>
      <bottom/>
    </border>
  </borders>
  <cellStyleXfs count="9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6" borderId="2" applyNumberFormat="0" applyAlignment="0" applyProtection="0"/>
    <xf numFmtId="0" fontId="37" fillId="0" borderId="0" applyNumberFormat="0" applyFill="0" applyBorder="0" applyAlignment="0" applyProtection="0"/>
    <xf numFmtId="41" fontId="0" fillId="0" borderId="0" applyFont="0" applyFill="0" applyBorder="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0" fontId="42"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4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0" fontId="4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0" fillId="0" borderId="0" applyFont="0" applyFill="0" applyBorder="0" applyAlignment="0" applyProtection="0"/>
    <xf numFmtId="0" fontId="46" fillId="31" borderId="0" applyNumberFormat="0" applyBorder="0" applyAlignment="0" applyProtection="0"/>
    <xf numFmtId="0" fontId="0" fillId="0" borderId="0">
      <alignment/>
      <protection/>
    </xf>
    <xf numFmtId="0" fontId="0" fillId="0" borderId="0">
      <alignment/>
      <protection/>
    </xf>
    <xf numFmtId="0" fontId="33" fillId="0" borderId="0">
      <alignment/>
      <protection/>
    </xf>
    <xf numFmtId="0" fontId="33" fillId="0" borderId="0">
      <alignment/>
      <protection/>
    </xf>
    <xf numFmtId="0" fontId="44" fillId="0" borderId="0">
      <alignment/>
      <protection/>
    </xf>
    <xf numFmtId="0" fontId="0" fillId="0" borderId="0">
      <alignment/>
      <protection/>
    </xf>
    <xf numFmtId="0" fontId="0" fillId="0" borderId="0">
      <alignment/>
      <protection/>
    </xf>
    <xf numFmtId="0" fontId="0"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44" fillId="0" borderId="0">
      <alignment/>
      <protection/>
    </xf>
    <xf numFmtId="0" fontId="43" fillId="0" borderId="0">
      <alignment/>
      <protection/>
    </xf>
    <xf numFmtId="0" fontId="2" fillId="0" borderId="0">
      <alignment/>
      <protection/>
    </xf>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32" borderId="9" applyNumberFormat="0" applyAlignment="0" applyProtection="0"/>
  </cellStyleXfs>
  <cellXfs count="266">
    <xf numFmtId="0" fontId="0" fillId="0" borderId="0" xfId="0" applyAlignment="1">
      <alignment/>
    </xf>
    <xf numFmtId="0" fontId="0" fillId="0" borderId="0" xfId="0" applyAlignment="1">
      <alignment horizontal="right"/>
    </xf>
    <xf numFmtId="0" fontId="0" fillId="0" borderId="0" xfId="0" applyBorder="1" applyAlignment="1">
      <alignment/>
    </xf>
    <xf numFmtId="49" fontId="2" fillId="0" borderId="0" xfId="85" applyNumberFormat="1" applyAlignment="1">
      <alignment/>
      <protection/>
    </xf>
    <xf numFmtId="0" fontId="2" fillId="0" borderId="0" xfId="85" applyFont="1" applyBorder="1" applyAlignment="1">
      <alignment horizontal="left"/>
      <protection/>
    </xf>
    <xf numFmtId="0" fontId="2" fillId="0" borderId="0" xfId="85" applyAlignment="1">
      <alignment/>
      <protection/>
    </xf>
    <xf numFmtId="0" fontId="2" fillId="0" borderId="0" xfId="85" applyFont="1" applyBorder="1" applyAlignment="1" quotePrefix="1">
      <alignment horizontal="left"/>
      <protection/>
    </xf>
    <xf numFmtId="171" fontId="2" fillId="0" borderId="0" xfId="85" applyNumberFormat="1" applyFont="1" applyBorder="1" applyAlignment="1">
      <alignment horizontal="right"/>
      <protection/>
    </xf>
    <xf numFmtId="0" fontId="6" fillId="0" borderId="0" xfId="85" applyFont="1" applyBorder="1" applyAlignment="1">
      <alignment horizontal="left"/>
      <protection/>
    </xf>
    <xf numFmtId="0" fontId="2" fillId="0" borderId="0" xfId="85">
      <alignment/>
      <protection/>
    </xf>
    <xf numFmtId="0" fontId="2" fillId="0" borderId="0" xfId="85" applyAlignment="1">
      <alignment horizontal="center"/>
      <protection/>
    </xf>
    <xf numFmtId="41" fontId="2" fillId="0" borderId="0" xfId="85" applyNumberFormat="1" applyAlignment="1">
      <alignment/>
      <protection/>
    </xf>
    <xf numFmtId="0" fontId="2" fillId="0" borderId="0" xfId="48" applyNumberFormat="1" applyFont="1" applyBorder="1" applyAlignment="1">
      <alignment horizontal="right"/>
    </xf>
    <xf numFmtId="0" fontId="2" fillId="33" borderId="0" xfId="48" applyNumberFormat="1" applyFont="1" applyFill="1" applyBorder="1" applyAlignment="1">
      <alignment horizontal="right"/>
    </xf>
    <xf numFmtId="0" fontId="2" fillId="0" borderId="0" xfId="48" applyNumberFormat="1" applyFont="1" applyBorder="1" applyAlignment="1">
      <alignment/>
    </xf>
    <xf numFmtId="1" fontId="2" fillId="0" borderId="0" xfId="48" applyNumberFormat="1" applyFont="1" applyFill="1" applyBorder="1" applyAlignment="1">
      <alignment horizontal="right"/>
    </xf>
    <xf numFmtId="1" fontId="2" fillId="0" borderId="0" xfId="48" applyNumberFormat="1" applyFont="1" applyBorder="1" applyAlignment="1">
      <alignment horizontal="right"/>
    </xf>
    <xf numFmtId="49" fontId="2" fillId="0" borderId="0" xfId="85" applyNumberFormat="1" applyAlignment="1">
      <alignment vertical="center"/>
      <protection/>
    </xf>
    <xf numFmtId="49" fontId="2" fillId="34" borderId="0" xfId="85" applyNumberFormat="1" applyFont="1" applyFill="1" applyBorder="1" applyAlignment="1">
      <alignment horizontal="center" vertical="center"/>
      <protection/>
    </xf>
    <xf numFmtId="49" fontId="3" fillId="0" borderId="0" xfId="0" applyNumberFormat="1" applyFont="1" applyAlignment="1">
      <alignment vertical="center"/>
    </xf>
    <xf numFmtId="1" fontId="2" fillId="0" borderId="0" xfId="0" applyNumberFormat="1" applyFont="1" applyBorder="1" applyAlignment="1">
      <alignment horizontal="left"/>
    </xf>
    <xf numFmtId="41" fontId="3" fillId="0" borderId="0" xfId="0" applyNumberFormat="1" applyFont="1" applyAlignment="1">
      <alignment/>
    </xf>
    <xf numFmtId="1" fontId="2" fillId="0" borderId="0" xfId="0" applyNumberFormat="1" applyFont="1" applyBorder="1" applyAlignment="1" quotePrefix="1">
      <alignment horizontal="left"/>
    </xf>
    <xf numFmtId="1" fontId="3" fillId="0" borderId="0" xfId="0" applyNumberFormat="1" applyFont="1" applyAlignment="1">
      <alignment horizontal="center"/>
    </xf>
    <xf numFmtId="49" fontId="2" fillId="34" borderId="0" xfId="0" applyNumberFormat="1" applyFont="1" applyFill="1" applyBorder="1" applyAlignment="1">
      <alignment horizontal="center" vertical="center"/>
    </xf>
    <xf numFmtId="0" fontId="2" fillId="0" borderId="0" xfId="0" applyNumberFormat="1" applyFont="1" applyBorder="1" applyAlignment="1">
      <alignment/>
    </xf>
    <xf numFmtId="1" fontId="2" fillId="0" borderId="0" xfId="0" applyNumberFormat="1" applyFont="1" applyBorder="1" applyAlignment="1">
      <alignment/>
    </xf>
    <xf numFmtId="1" fontId="2" fillId="0" borderId="0" xfId="0" applyNumberFormat="1" applyFont="1" applyBorder="1" applyAlignment="1">
      <alignment horizontal="right"/>
    </xf>
    <xf numFmtId="1" fontId="2" fillId="0" borderId="10" xfId="0" applyNumberFormat="1" applyFont="1" applyBorder="1" applyAlignment="1">
      <alignment/>
    </xf>
    <xf numFmtId="0" fontId="0" fillId="0" borderId="0" xfId="0" applyAlignment="1">
      <alignment vertical="center"/>
    </xf>
    <xf numFmtId="1" fontId="2" fillId="34" borderId="0" xfId="0" applyNumberFormat="1" applyFont="1" applyFill="1" applyBorder="1" applyAlignment="1">
      <alignment horizontal="center" vertical="center"/>
    </xf>
    <xf numFmtId="0" fontId="2" fillId="0" borderId="0" xfId="48" applyNumberFormat="1" applyFont="1" applyFill="1" applyBorder="1" applyAlignment="1">
      <alignment/>
    </xf>
    <xf numFmtId="0" fontId="2" fillId="0" borderId="0" xfId="85" applyFont="1" applyAlignment="1">
      <alignment vertical="center"/>
      <protection/>
    </xf>
    <xf numFmtId="0" fontId="2" fillId="0" borderId="0" xfId="85" applyFont="1" applyBorder="1" applyAlignment="1">
      <alignment horizontal="center"/>
      <protection/>
    </xf>
    <xf numFmtId="0" fontId="2" fillId="0" borderId="0" xfId="85" applyFont="1" applyAlignment="1">
      <alignment/>
      <protection/>
    </xf>
    <xf numFmtId="0" fontId="2" fillId="0" borderId="0" xfId="85" applyFont="1">
      <alignment/>
      <protection/>
    </xf>
    <xf numFmtId="41" fontId="2" fillId="0" borderId="0" xfId="85" applyNumberFormat="1" applyFont="1">
      <alignment/>
      <protection/>
    </xf>
    <xf numFmtId="0" fontId="5" fillId="0" borderId="0" xfId="0" applyFont="1" applyAlignment="1">
      <alignment horizontal="justify"/>
    </xf>
    <xf numFmtId="0" fontId="2" fillId="0" borderId="0" xfId="85" applyAlignment="1">
      <alignment vertical="center"/>
      <protection/>
    </xf>
    <xf numFmtId="0" fontId="7" fillId="0" borderId="0" xfId="85" applyFont="1" applyBorder="1" applyAlignment="1">
      <alignment horizontal="left"/>
      <protection/>
    </xf>
    <xf numFmtId="2" fontId="2" fillId="0" borderId="0" xfId="85" applyNumberFormat="1" applyFont="1" applyBorder="1" applyAlignment="1">
      <alignment horizontal="left"/>
      <protection/>
    </xf>
    <xf numFmtId="0" fontId="7" fillId="0" borderId="0" xfId="85" applyFont="1">
      <alignment/>
      <protection/>
    </xf>
    <xf numFmtId="41" fontId="7" fillId="0" borderId="0" xfId="85" applyNumberFormat="1" applyFont="1">
      <alignment/>
      <protection/>
    </xf>
    <xf numFmtId="0" fontId="6" fillId="0" borderId="0" xfId="85" applyFont="1">
      <alignment/>
      <protection/>
    </xf>
    <xf numFmtId="41" fontId="2" fillId="0" borderId="0" xfId="85" applyNumberFormat="1">
      <alignment/>
      <protection/>
    </xf>
    <xf numFmtId="0" fontId="7" fillId="0" borderId="0" xfId="48" applyNumberFormat="1" applyFont="1" applyBorder="1" applyAlignment="1">
      <alignment horizontal="right"/>
    </xf>
    <xf numFmtId="172" fontId="7" fillId="0" borderId="0" xfId="48" applyNumberFormat="1" applyFont="1" applyBorder="1" applyAlignment="1">
      <alignment horizontal="right"/>
    </xf>
    <xf numFmtId="1" fontId="7" fillId="0" borderId="0" xfId="48" applyNumberFormat="1" applyFont="1" applyBorder="1" applyAlignment="1">
      <alignment horizontal="right"/>
    </xf>
    <xf numFmtId="0" fontId="2" fillId="0" borderId="0" xfId="85" applyBorder="1" applyAlignment="1">
      <alignment/>
      <protection/>
    </xf>
    <xf numFmtId="3" fontId="2" fillId="34" borderId="0" xfId="85" applyNumberFormat="1" applyFont="1" applyFill="1" applyBorder="1" applyAlignment="1">
      <alignment horizontal="center" vertical="center"/>
      <protection/>
    </xf>
    <xf numFmtId="3" fontId="6" fillId="34" borderId="0" xfId="85" applyNumberFormat="1" applyFont="1" applyFill="1" applyBorder="1" applyAlignment="1">
      <alignment horizontal="centerContinuous" vertical="center"/>
      <protection/>
    </xf>
    <xf numFmtId="0" fontId="2" fillId="0" borderId="0" xfId="48" applyNumberFormat="1" applyFont="1" applyBorder="1" applyAlignment="1">
      <alignment horizontal="center"/>
    </xf>
    <xf numFmtId="3" fontId="2" fillId="0" borderId="0" xfId="85" applyNumberFormat="1" applyAlignment="1">
      <alignment vertical="center"/>
      <protection/>
    </xf>
    <xf numFmtId="0" fontId="2" fillId="0" borderId="0" xfId="85" applyFont="1" applyBorder="1" applyAlignment="1">
      <alignment/>
      <protection/>
    </xf>
    <xf numFmtId="0" fontId="6" fillId="34" borderId="0" xfId="85" applyFont="1" applyFill="1" applyBorder="1" applyAlignment="1">
      <alignment horizontal="center" vertical="center"/>
      <protection/>
    </xf>
    <xf numFmtId="2" fontId="2" fillId="0" borderId="0" xfId="85" applyNumberFormat="1" applyFont="1" applyBorder="1" applyAlignment="1">
      <alignment horizontal="right"/>
      <protection/>
    </xf>
    <xf numFmtId="173" fontId="2" fillId="0" borderId="0" xfId="85" applyNumberFormat="1" applyFont="1" applyBorder="1" applyAlignment="1">
      <alignment/>
      <protection/>
    </xf>
    <xf numFmtId="3" fontId="2" fillId="34" borderId="0" xfId="85" applyNumberFormat="1" applyFont="1" applyFill="1" applyBorder="1" applyAlignment="1">
      <alignment horizontal="right" vertical="center"/>
      <protection/>
    </xf>
    <xf numFmtId="0" fontId="2" fillId="0" borderId="0" xfId="85" applyFont="1" applyBorder="1" applyAlignment="1">
      <alignment vertical="center"/>
      <protection/>
    </xf>
    <xf numFmtId="2" fontId="2" fillId="0" borderId="0" xfId="85" applyNumberFormat="1" applyFont="1" applyBorder="1" applyAlignment="1">
      <alignment vertical="center"/>
      <protection/>
    </xf>
    <xf numFmtId="2" fontId="2" fillId="0" borderId="0" xfId="85" applyNumberFormat="1" applyFont="1" applyBorder="1" applyAlignment="1">
      <alignment/>
      <protection/>
    </xf>
    <xf numFmtId="0" fontId="6" fillId="33" borderId="0" xfId="85" applyFont="1" applyFill="1" applyBorder="1" applyAlignment="1">
      <alignment vertical="center"/>
      <protection/>
    </xf>
    <xf numFmtId="0" fontId="6" fillId="0" borderId="0" xfId="85" applyFont="1" applyAlignment="1">
      <alignment/>
      <protection/>
    </xf>
    <xf numFmtId="0" fontId="2" fillId="0" borderId="0" xfId="48" applyNumberFormat="1" applyFont="1" applyFill="1" applyBorder="1" applyAlignment="1">
      <alignment horizontal="right"/>
    </xf>
    <xf numFmtId="0" fontId="2" fillId="0" borderId="0" xfId="0" applyNumberFormat="1" applyFont="1" applyFill="1" applyBorder="1" applyAlignment="1">
      <alignment/>
    </xf>
    <xf numFmtId="0" fontId="7" fillId="0" borderId="0" xfId="48" applyNumberFormat="1" applyFont="1" applyFill="1" applyBorder="1" applyAlignment="1">
      <alignment horizontal="right"/>
    </xf>
    <xf numFmtId="0" fontId="2" fillId="0" borderId="0" xfId="48" applyNumberFormat="1" applyFont="1" applyFill="1" applyBorder="1" applyAlignment="1">
      <alignment horizontal="center"/>
    </xf>
    <xf numFmtId="1" fontId="2" fillId="0" borderId="0" xfId="0" applyNumberFormat="1" applyFont="1" applyFill="1" applyBorder="1" applyAlignment="1">
      <alignment/>
    </xf>
    <xf numFmtId="0" fontId="2" fillId="0" borderId="0" xfId="85" applyAlignment="1">
      <alignment horizontal="left" indent="1"/>
      <protection/>
    </xf>
    <xf numFmtId="0" fontId="2" fillId="34" borderId="0" xfId="85" applyNumberFormat="1" applyFont="1" applyFill="1" applyBorder="1" applyAlignment="1">
      <alignment horizontal="right" wrapText="1"/>
      <protection/>
    </xf>
    <xf numFmtId="0" fontId="6" fillId="34" borderId="0" xfId="85" applyFont="1" applyFill="1" applyBorder="1" applyAlignment="1">
      <alignment horizontal="left" vertical="center"/>
      <protection/>
    </xf>
    <xf numFmtId="0" fontId="6" fillId="33" borderId="0" xfId="85" applyFont="1" applyFill="1" applyBorder="1" applyAlignment="1">
      <alignment horizontal="center" vertical="center" wrapText="1"/>
      <protection/>
    </xf>
    <xf numFmtId="174" fontId="2" fillId="0" borderId="0" xfId="85" applyNumberFormat="1" applyFont="1" applyBorder="1" applyAlignment="1">
      <alignment/>
      <protection/>
    </xf>
    <xf numFmtId="174" fontId="6" fillId="0" borderId="0" xfId="85" applyNumberFormat="1" applyFont="1" applyBorder="1" applyAlignment="1">
      <alignment/>
      <protection/>
    </xf>
    <xf numFmtId="0" fontId="2" fillId="34" borderId="0" xfId="48" applyNumberFormat="1" applyFont="1" applyFill="1" applyBorder="1" applyAlignment="1">
      <alignment horizontal="right" vertical="center"/>
    </xf>
    <xf numFmtId="0" fontId="2" fillId="34" borderId="0" xfId="85" applyNumberFormat="1" applyFont="1" applyFill="1" applyBorder="1" applyAlignment="1">
      <alignment horizontal="right" vertical="center"/>
      <protection/>
    </xf>
    <xf numFmtId="0" fontId="2" fillId="0" borderId="0" xfId="85" applyFont="1" applyFill="1" applyBorder="1" applyAlignment="1">
      <alignment horizontal="left"/>
      <protection/>
    </xf>
    <xf numFmtId="2" fontId="6" fillId="0" borderId="0" xfId="85" applyNumberFormat="1" applyFont="1" applyBorder="1" applyAlignment="1">
      <alignment horizontal="right"/>
      <protection/>
    </xf>
    <xf numFmtId="175" fontId="2" fillId="0" borderId="0" xfId="85" applyNumberFormat="1" applyFont="1" applyBorder="1" applyAlignment="1">
      <alignment horizontal="right"/>
      <protection/>
    </xf>
    <xf numFmtId="176" fontId="2" fillId="0" borderId="0" xfId="85" applyNumberFormat="1" applyFont="1" applyBorder="1" applyAlignment="1">
      <alignment horizontal="right"/>
      <protection/>
    </xf>
    <xf numFmtId="175" fontId="2" fillId="0" borderId="0" xfId="85" applyNumberFormat="1" applyFont="1" applyFill="1" applyBorder="1" applyAlignment="1">
      <alignment horizontal="right"/>
      <protection/>
    </xf>
    <xf numFmtId="176" fontId="2" fillId="0" borderId="0" xfId="85" applyNumberFormat="1" applyFont="1" applyFill="1" applyBorder="1" applyAlignment="1">
      <alignment horizontal="right"/>
      <protection/>
    </xf>
    <xf numFmtId="2" fontId="2" fillId="0" borderId="0" xfId="85" applyNumberFormat="1" applyFont="1" applyFill="1" applyBorder="1" applyAlignment="1">
      <alignment horizontal="right"/>
      <protection/>
    </xf>
    <xf numFmtId="0" fontId="2" fillId="0" borderId="0" xfId="85" applyAlignment="1">
      <alignment horizontal="right"/>
      <protection/>
    </xf>
    <xf numFmtId="0" fontId="6" fillId="0" borderId="0" xfId="85" applyFont="1" applyBorder="1" applyAlignment="1">
      <alignment horizontal="left" wrapText="1"/>
      <protection/>
    </xf>
    <xf numFmtId="3" fontId="2" fillId="34" borderId="0" xfId="85" applyNumberFormat="1" applyFont="1" applyFill="1" applyBorder="1" applyAlignment="1">
      <alignment horizontal="right" wrapText="1"/>
      <protection/>
    </xf>
    <xf numFmtId="49" fontId="2" fillId="34" borderId="0" xfId="0" applyNumberFormat="1" applyFont="1" applyFill="1" applyBorder="1" applyAlignment="1">
      <alignment horizontal="right" vertical="center"/>
    </xf>
    <xf numFmtId="49" fontId="2" fillId="34" borderId="0" xfId="85" applyNumberFormat="1" applyFont="1" applyFill="1" applyBorder="1" applyAlignment="1">
      <alignment horizontal="right"/>
      <protection/>
    </xf>
    <xf numFmtId="49" fontId="2" fillId="34" borderId="0" xfId="0" applyNumberFormat="1" applyFont="1" applyFill="1" applyBorder="1" applyAlignment="1">
      <alignment horizontal="right" vertical="center" wrapText="1"/>
    </xf>
    <xf numFmtId="0" fontId="7" fillId="34" borderId="0" xfId="85" applyNumberFormat="1" applyFont="1" applyFill="1" applyBorder="1" applyAlignment="1">
      <alignment horizontal="center" vertical="center" wrapText="1"/>
      <protection/>
    </xf>
    <xf numFmtId="0" fontId="7" fillId="34" borderId="0" xfId="85" applyNumberFormat="1" applyFont="1" applyFill="1" applyBorder="1" applyAlignment="1">
      <alignment horizontal="right" vertical="center" wrapText="1"/>
      <protection/>
    </xf>
    <xf numFmtId="1" fontId="2" fillId="0" borderId="0" xfId="85" applyNumberFormat="1" applyBorder="1" applyAlignment="1">
      <alignment horizontal="right"/>
      <protection/>
    </xf>
    <xf numFmtId="1" fontId="2" fillId="0" borderId="0" xfId="85" applyNumberFormat="1" applyAlignment="1">
      <alignment horizontal="right"/>
      <protection/>
    </xf>
    <xf numFmtId="0" fontId="2" fillId="0" borderId="0" xfId="85" applyFont="1" applyFill="1" applyBorder="1" applyAlignment="1" quotePrefix="1">
      <alignment horizontal="left"/>
      <protection/>
    </xf>
    <xf numFmtId="0" fontId="7" fillId="34" borderId="0" xfId="85" applyNumberFormat="1" applyFont="1" applyFill="1" applyBorder="1" applyAlignment="1">
      <alignment horizontal="left" vertical="center" wrapText="1"/>
      <protection/>
    </xf>
    <xf numFmtId="0" fontId="6" fillId="34" borderId="0" xfId="85" applyNumberFormat="1" applyFont="1" applyFill="1" applyBorder="1" applyAlignment="1">
      <alignment/>
      <protection/>
    </xf>
    <xf numFmtId="0" fontId="2" fillId="34" borderId="0" xfId="85" applyFont="1" applyFill="1" applyAlignment="1">
      <alignment horizontal="right" vertical="center"/>
      <protection/>
    </xf>
    <xf numFmtId="0" fontId="2" fillId="0" borderId="0" xfId="85" applyFont="1" applyAlignment="1">
      <alignment horizontal="right" vertical="center"/>
      <protection/>
    </xf>
    <xf numFmtId="41" fontId="2" fillId="0" borderId="0" xfId="85" applyNumberFormat="1" applyFont="1" applyAlignment="1">
      <alignment horizontal="right"/>
      <protection/>
    </xf>
    <xf numFmtId="0" fontId="2" fillId="0" borderId="0" xfId="85" applyFont="1" applyAlignment="1">
      <alignment horizontal="right"/>
      <protection/>
    </xf>
    <xf numFmtId="41" fontId="2" fillId="0" borderId="0" xfId="0" applyNumberFormat="1" applyFont="1" applyAlignment="1">
      <alignment horizontal="right"/>
    </xf>
    <xf numFmtId="164" fontId="2" fillId="0" borderId="0" xfId="85" applyNumberFormat="1" applyFont="1" applyAlignment="1">
      <alignment horizontal="right"/>
      <protection/>
    </xf>
    <xf numFmtId="0" fontId="2" fillId="0" borderId="0" xfId="0" applyFont="1" applyAlignment="1">
      <alignment horizontal="right"/>
    </xf>
    <xf numFmtId="41" fontId="2" fillId="0" borderId="0" xfId="85" applyNumberFormat="1" applyFont="1" applyAlignment="1">
      <alignment horizontal="right"/>
      <protection/>
    </xf>
    <xf numFmtId="49" fontId="2" fillId="34" borderId="0" xfId="85" applyNumberFormat="1" applyFont="1" applyFill="1" applyBorder="1" applyAlignment="1">
      <alignment horizontal="center" vertical="center" wrapText="1"/>
      <protection/>
    </xf>
    <xf numFmtId="1" fontId="7" fillId="0" borderId="0" xfId="48" applyNumberFormat="1" applyFont="1" applyFill="1" applyBorder="1" applyAlignment="1">
      <alignment horizontal="right"/>
    </xf>
    <xf numFmtId="0" fontId="2" fillId="0" borderId="0" xfId="0" applyFont="1" applyFill="1" applyBorder="1" applyAlignment="1">
      <alignment/>
    </xf>
    <xf numFmtId="1" fontId="2" fillId="0" borderId="0" xfId="48" applyNumberFormat="1" applyFont="1" applyFill="1" applyBorder="1" applyAlignment="1">
      <alignment horizontal="center"/>
    </xf>
    <xf numFmtId="0" fontId="2" fillId="0" borderId="0" xfId="85" applyFont="1" applyFill="1" applyBorder="1" applyAlignment="1">
      <alignment horizontal="center"/>
      <protection/>
    </xf>
    <xf numFmtId="0" fontId="2" fillId="0" borderId="0" xfId="85" applyFont="1" applyFill="1" applyAlignment="1">
      <alignment/>
      <protection/>
    </xf>
    <xf numFmtId="2" fontId="2" fillId="0" borderId="0" xfId="85" applyNumberFormat="1" applyFont="1" applyFill="1" applyBorder="1" applyAlignment="1">
      <alignment horizontal="left"/>
      <protection/>
    </xf>
    <xf numFmtId="0" fontId="2" fillId="0" borderId="0" xfId="85" applyFont="1" applyFill="1" applyBorder="1" applyAlignment="1">
      <alignment/>
      <protection/>
    </xf>
    <xf numFmtId="174" fontId="2" fillId="0" borderId="0" xfId="85" applyNumberFormat="1" applyFont="1" applyFill="1" applyBorder="1" applyAlignment="1">
      <alignment/>
      <protection/>
    </xf>
    <xf numFmtId="0" fontId="2" fillId="0" borderId="0" xfId="85" applyFont="1" applyFill="1" applyBorder="1" applyAlignment="1">
      <alignment vertical="center"/>
      <protection/>
    </xf>
    <xf numFmtId="2" fontId="2" fillId="0" borderId="0" xfId="85" applyNumberFormat="1" applyFont="1" applyFill="1" applyBorder="1" applyAlignment="1">
      <alignment vertical="center"/>
      <protection/>
    </xf>
    <xf numFmtId="0" fontId="6" fillId="0" borderId="0" xfId="85" applyFont="1" applyFill="1" applyBorder="1" applyAlignment="1">
      <alignment vertical="center"/>
      <protection/>
    </xf>
    <xf numFmtId="174" fontId="6" fillId="0" borderId="0" xfId="85" applyNumberFormat="1" applyFont="1" applyFill="1" applyBorder="1" applyAlignment="1">
      <alignment/>
      <protection/>
    </xf>
    <xf numFmtId="2" fontId="2" fillId="0" borderId="0" xfId="85" applyNumberFormat="1" applyFont="1" applyFill="1" applyBorder="1" applyAlignment="1">
      <alignment/>
      <protection/>
    </xf>
    <xf numFmtId="165" fontId="2" fillId="0" borderId="0" xfId="62" applyNumberFormat="1" applyFont="1" applyBorder="1" applyAlignment="1">
      <alignment horizontal="right"/>
    </xf>
    <xf numFmtId="1" fontId="2" fillId="0" borderId="0" xfId="85" applyNumberFormat="1" applyFill="1" applyAlignment="1">
      <alignment horizontal="right"/>
      <protection/>
    </xf>
    <xf numFmtId="1" fontId="2" fillId="0" borderId="0" xfId="85" applyNumberFormat="1" applyFill="1" applyBorder="1" applyAlignment="1">
      <alignment horizontal="right"/>
      <protection/>
    </xf>
    <xf numFmtId="0" fontId="2" fillId="0" borderId="0" xfId="85" applyFont="1" applyAlignment="1">
      <alignment horizontal="right"/>
      <protection/>
    </xf>
    <xf numFmtId="1" fontId="2" fillId="0" borderId="0" xfId="85" applyNumberFormat="1">
      <alignment/>
      <protection/>
    </xf>
    <xf numFmtId="1" fontId="2" fillId="0" borderId="0" xfId="48" applyNumberFormat="1" applyFont="1" applyFill="1" applyBorder="1" applyAlignment="1">
      <alignment/>
    </xf>
    <xf numFmtId="1" fontId="2" fillId="0" borderId="0" xfId="0" applyNumberFormat="1" applyFont="1" applyFill="1" applyBorder="1" applyAlignment="1" quotePrefix="1">
      <alignment horizontal="left"/>
    </xf>
    <xf numFmtId="1" fontId="2" fillId="0" borderId="0" xfId="0" applyNumberFormat="1" applyFont="1" applyFill="1" applyBorder="1" applyAlignment="1">
      <alignment horizontal="right"/>
    </xf>
    <xf numFmtId="49" fontId="2" fillId="34" borderId="0" xfId="85" applyNumberFormat="1" applyFont="1" applyFill="1" applyBorder="1" applyAlignment="1">
      <alignment horizontal="center" vertical="center"/>
      <protection/>
    </xf>
    <xf numFmtId="0" fontId="2" fillId="0" borderId="0" xfId="85" applyFont="1" applyFill="1" applyBorder="1" applyAlignment="1">
      <alignment/>
      <protection/>
    </xf>
    <xf numFmtId="1" fontId="2" fillId="0" borderId="0" xfId="48" applyNumberFormat="1" applyFont="1" applyFill="1" applyBorder="1" applyAlignment="1">
      <alignment horizontal="right"/>
    </xf>
    <xf numFmtId="0" fontId="2" fillId="0" borderId="0" xfId="85" applyFont="1" applyFill="1" applyAlignment="1">
      <alignment horizontal="right"/>
      <protection/>
    </xf>
    <xf numFmtId="1" fontId="2" fillId="0" borderId="0" xfId="48" applyNumberFormat="1" applyFont="1" applyBorder="1" applyAlignment="1">
      <alignment horizontal="right"/>
    </xf>
    <xf numFmtId="1" fontId="2" fillId="33" borderId="0" xfId="48" applyNumberFormat="1" applyFont="1" applyFill="1" applyBorder="1" applyAlignment="1">
      <alignment horizontal="right"/>
    </xf>
    <xf numFmtId="1" fontId="2" fillId="0" borderId="10" xfId="48" applyNumberFormat="1" applyFont="1" applyBorder="1" applyAlignment="1">
      <alignment horizontal="right"/>
    </xf>
    <xf numFmtId="1" fontId="2" fillId="0" borderId="10" xfId="48" applyNumberFormat="1" applyFont="1" applyFill="1" applyBorder="1" applyAlignment="1">
      <alignment horizontal="right"/>
    </xf>
    <xf numFmtId="1" fontId="2" fillId="0" borderId="11" xfId="48" applyNumberFormat="1" applyFont="1" applyBorder="1" applyAlignment="1">
      <alignment horizontal="right"/>
    </xf>
    <xf numFmtId="0" fontId="2" fillId="0" borderId="0" xfId="48" applyNumberFormat="1" applyFont="1" applyFill="1" applyBorder="1" applyAlignment="1">
      <alignment horizontal="right"/>
    </xf>
    <xf numFmtId="0" fontId="2" fillId="0" borderId="0" xfId="48" applyNumberFormat="1" applyFont="1" applyBorder="1" applyAlignment="1">
      <alignment horizontal="right"/>
    </xf>
    <xf numFmtId="168" fontId="2" fillId="0" borderId="0" xfId="48" applyNumberFormat="1" applyFont="1" applyFill="1" applyBorder="1" applyAlignment="1">
      <alignment/>
    </xf>
    <xf numFmtId="165" fontId="2" fillId="0" borderId="0" xfId="62" applyNumberFormat="1" applyFont="1" applyFill="1" applyAlignment="1">
      <alignment horizontal="right"/>
    </xf>
    <xf numFmtId="165" fontId="2" fillId="0" borderId="0" xfId="62" applyNumberFormat="1" applyFont="1" applyFill="1" applyBorder="1" applyAlignment="1">
      <alignment horizontal="right"/>
    </xf>
    <xf numFmtId="165" fontId="2" fillId="0" borderId="0" xfId="85" applyNumberFormat="1" applyFont="1" applyFill="1" applyBorder="1" applyAlignment="1">
      <alignment horizontal="right"/>
      <protection/>
    </xf>
    <xf numFmtId="165" fontId="2" fillId="0" borderId="10" xfId="85" applyNumberFormat="1" applyFont="1" applyFill="1" applyBorder="1" applyAlignment="1">
      <alignment horizontal="right"/>
      <protection/>
    </xf>
    <xf numFmtId="165" fontId="2" fillId="0" borderId="10" xfId="62" applyNumberFormat="1" applyFont="1" applyFill="1" applyBorder="1" applyAlignment="1">
      <alignment horizontal="right"/>
    </xf>
    <xf numFmtId="168" fontId="2" fillId="0" borderId="0" xfId="85" applyNumberFormat="1" applyFont="1">
      <alignment/>
      <protection/>
    </xf>
    <xf numFmtId="0" fontId="2" fillId="34" borderId="0" xfId="85" applyNumberFormat="1" applyFont="1" applyFill="1" applyBorder="1" applyAlignment="1">
      <alignment horizontal="right" vertical="center"/>
      <protection/>
    </xf>
    <xf numFmtId="0" fontId="2" fillId="34" borderId="0" xfId="85" applyNumberFormat="1" applyFont="1" applyFill="1" applyBorder="1" applyAlignment="1">
      <alignment horizontal="center" vertical="center"/>
      <protection/>
    </xf>
    <xf numFmtId="1" fontId="2" fillId="0" borderId="0" xfId="0" applyNumberFormat="1" applyFont="1" applyFill="1" applyBorder="1" applyAlignment="1">
      <alignment/>
    </xf>
    <xf numFmtId="1" fontId="2" fillId="0" borderId="0" xfId="85" applyNumberFormat="1" applyFont="1" applyFill="1" applyAlignment="1">
      <alignment horizontal="right"/>
      <protection/>
    </xf>
    <xf numFmtId="0" fontId="2" fillId="0" borderId="0" xfId="0" applyFont="1" applyFill="1" applyBorder="1" applyAlignment="1">
      <alignment/>
    </xf>
    <xf numFmtId="14" fontId="2" fillId="0" borderId="0" xfId="85" applyNumberFormat="1" applyFont="1" applyFill="1" applyBorder="1" applyAlignment="1">
      <alignment/>
      <protection/>
    </xf>
    <xf numFmtId="168" fontId="2" fillId="0" borderId="0" xfId="85" applyNumberFormat="1" applyAlignment="1">
      <alignment horizontal="center"/>
      <protection/>
    </xf>
    <xf numFmtId="1" fontId="2" fillId="0" borderId="0" xfId="85" applyNumberFormat="1" applyFill="1">
      <alignment/>
      <protection/>
    </xf>
    <xf numFmtId="0" fontId="7" fillId="34" borderId="0" xfId="85" applyNumberFormat="1" applyFont="1" applyFill="1" applyBorder="1" applyAlignment="1">
      <alignment vertical="center" wrapText="1"/>
      <protection/>
    </xf>
    <xf numFmtId="194" fontId="2" fillId="0" borderId="0" xfId="85" applyNumberFormat="1" applyFont="1" applyBorder="1" applyAlignment="1">
      <alignment horizontal="right"/>
      <protection/>
    </xf>
    <xf numFmtId="0" fontId="2" fillId="34" borderId="0" xfId="85" applyNumberFormat="1" applyFont="1" applyFill="1" applyBorder="1" applyAlignment="1">
      <alignment horizontal="right" vertical="center" wrapText="1"/>
      <protection/>
    </xf>
    <xf numFmtId="0" fontId="6" fillId="34" borderId="0" xfId="85" applyFont="1" applyFill="1" applyBorder="1" applyAlignment="1">
      <alignment vertical="center"/>
      <protection/>
    </xf>
    <xf numFmtId="0" fontId="2" fillId="0" borderId="0" xfId="85" applyFont="1" applyBorder="1" applyAlignment="1">
      <alignment horizontal="center"/>
      <protection/>
    </xf>
    <xf numFmtId="1" fontId="2" fillId="0" borderId="0" xfId="85" applyNumberFormat="1" applyFont="1" applyBorder="1" applyAlignment="1">
      <alignment horizontal="right"/>
      <protection/>
    </xf>
    <xf numFmtId="0" fontId="2" fillId="34" borderId="0" xfId="85" applyNumberFormat="1" applyFont="1" applyFill="1" applyBorder="1" applyAlignment="1">
      <alignment horizontal="right" wrapText="1"/>
      <protection/>
    </xf>
    <xf numFmtId="1" fontId="2" fillId="0" borderId="0" xfId="85" applyNumberFormat="1" applyFont="1" applyAlignment="1">
      <alignment/>
      <protection/>
    </xf>
    <xf numFmtId="0" fontId="2" fillId="0" borderId="0" xfId="85" applyFont="1" applyAlignment="1">
      <alignment horizontal="right" vertical="top"/>
      <protection/>
    </xf>
    <xf numFmtId="0" fontId="2" fillId="0" borderId="0" xfId="85" applyFont="1" applyAlignment="1">
      <alignment vertical="top"/>
      <protection/>
    </xf>
    <xf numFmtId="41" fontId="2" fillId="0" borderId="0" xfId="85" applyNumberFormat="1" applyFont="1" applyAlignment="1">
      <alignment vertical="top"/>
      <protection/>
    </xf>
    <xf numFmtId="0" fontId="6" fillId="34" borderId="0" xfId="85" applyNumberFormat="1" applyFont="1" applyFill="1" applyBorder="1" applyAlignment="1">
      <alignment horizontal="right"/>
      <protection/>
    </xf>
    <xf numFmtId="0" fontId="2" fillId="0" borderId="0" xfId="85" applyFont="1" applyAlignment="1">
      <alignment wrapText="1"/>
      <protection/>
    </xf>
    <xf numFmtId="49" fontId="2" fillId="34" borderId="0" xfId="85" applyNumberFormat="1" applyFont="1" applyFill="1" applyBorder="1" applyAlignment="1">
      <alignment horizontal="left" vertical="center" wrapText="1"/>
      <protection/>
    </xf>
    <xf numFmtId="49" fontId="2" fillId="34" borderId="0" xfId="85" applyNumberFormat="1" applyFont="1" applyFill="1" applyBorder="1" applyAlignment="1">
      <alignment horizontal="center" vertical="center" wrapText="1"/>
      <protection/>
    </xf>
    <xf numFmtId="49" fontId="2" fillId="0" borderId="0" xfId="85" applyNumberFormat="1" applyAlignment="1">
      <alignment wrapText="1"/>
      <protection/>
    </xf>
    <xf numFmtId="0" fontId="2" fillId="0" borderId="0" xfId="0" applyFont="1" applyAlignment="1">
      <alignment horizontal="left"/>
    </xf>
    <xf numFmtId="0" fontId="2" fillId="0" borderId="0" xfId="0" applyFont="1" applyAlignment="1">
      <alignment horizontal="left"/>
    </xf>
    <xf numFmtId="0" fontId="2" fillId="34" borderId="0" xfId="48" applyNumberFormat="1" applyFont="1" applyFill="1" applyBorder="1" applyAlignment="1">
      <alignment horizontal="right"/>
    </xf>
    <xf numFmtId="0" fontId="2" fillId="34" borderId="0" xfId="85" applyNumberFormat="1" applyFont="1" applyFill="1" applyBorder="1" applyAlignment="1">
      <alignment horizontal="right"/>
      <protection/>
    </xf>
    <xf numFmtId="174" fontId="2" fillId="0" borderId="0" xfId="85" applyNumberFormat="1" applyAlignment="1">
      <alignment horizontal="right"/>
      <protection/>
    </xf>
    <xf numFmtId="0" fontId="2" fillId="0" borderId="0" xfId="85" applyAlignment="1">
      <alignment horizontal="left"/>
      <protection/>
    </xf>
    <xf numFmtId="0" fontId="6" fillId="0" borderId="0" xfId="0" applyFont="1" applyAlignment="1">
      <alignment horizontal="left"/>
    </xf>
    <xf numFmtId="0" fontId="2" fillId="0" borderId="0" xfId="0" applyFont="1" applyFill="1" applyAlignment="1">
      <alignment horizontal="left"/>
    </xf>
    <xf numFmtId="0" fontId="2" fillId="0" borderId="0" xfId="0" applyFont="1" applyFill="1" applyAlignment="1">
      <alignment horizontal="left"/>
    </xf>
    <xf numFmtId="0" fontId="2" fillId="0" borderId="0" xfId="0" applyNumberFormat="1" applyFont="1" applyBorder="1" applyAlignment="1">
      <alignment/>
    </xf>
    <xf numFmtId="1" fontId="2" fillId="0" borderId="0" xfId="0" applyNumberFormat="1" applyFont="1" applyBorder="1" applyAlignment="1">
      <alignment horizontal="right"/>
    </xf>
    <xf numFmtId="0" fontId="2" fillId="0" borderId="0" xfId="48" applyNumberFormat="1" applyFont="1" applyFill="1" applyBorder="1" applyAlignment="1">
      <alignment/>
    </xf>
    <xf numFmtId="1" fontId="2" fillId="0" borderId="0" xfId="48" applyNumberFormat="1" applyFont="1" applyFill="1" applyBorder="1" applyAlignment="1">
      <alignment/>
    </xf>
    <xf numFmtId="41" fontId="7" fillId="0" borderId="0" xfId="48" applyNumberFormat="1" applyFont="1" applyFill="1" applyBorder="1" applyAlignment="1">
      <alignment horizontal="right"/>
    </xf>
    <xf numFmtId="0" fontId="0" fillId="0" borderId="0" xfId="0" applyFont="1" applyFill="1" applyAlignment="1">
      <alignment/>
    </xf>
    <xf numFmtId="1" fontId="3" fillId="0" borderId="0" xfId="0" applyNumberFormat="1" applyFont="1" applyFill="1" applyAlignment="1">
      <alignment horizontal="center"/>
    </xf>
    <xf numFmtId="171" fontId="2" fillId="0" borderId="0" xfId="85" applyNumberFormat="1" applyFont="1" applyFill="1" applyBorder="1" applyAlignment="1">
      <alignment horizontal="right"/>
      <protection/>
    </xf>
    <xf numFmtId="41" fontId="2" fillId="0" borderId="0" xfId="85" applyNumberFormat="1" applyFill="1" applyAlignment="1">
      <alignment/>
      <protection/>
    </xf>
    <xf numFmtId="41" fontId="2" fillId="0" borderId="0" xfId="85" applyNumberFormat="1" applyFont="1" applyFill="1">
      <alignment/>
      <protection/>
    </xf>
    <xf numFmtId="1" fontId="2" fillId="0" borderId="0" xfId="85" applyNumberFormat="1" applyFont="1" applyFill="1" applyAlignment="1">
      <alignment/>
      <protection/>
    </xf>
    <xf numFmtId="197" fontId="2" fillId="0" borderId="0" xfId="48" applyNumberFormat="1" applyFont="1" applyFill="1" applyBorder="1" applyAlignment="1">
      <alignment horizontal="right"/>
    </xf>
    <xf numFmtId="197" fontId="2" fillId="0" borderId="0" xfId="85" applyNumberFormat="1" applyAlignment="1">
      <alignment/>
      <protection/>
    </xf>
    <xf numFmtId="194" fontId="2" fillId="0" borderId="0" xfId="85" applyNumberFormat="1" applyFont="1" applyFill="1" applyBorder="1" applyAlignment="1">
      <alignment horizontal="right"/>
      <protection/>
    </xf>
    <xf numFmtId="3" fontId="2" fillId="34" borderId="0" xfId="85" applyNumberFormat="1" applyFont="1" applyFill="1" applyBorder="1" applyAlignment="1">
      <alignment horizontal="right" wrapText="1"/>
      <protection/>
    </xf>
    <xf numFmtId="3" fontId="2" fillId="34" borderId="0" xfId="85" applyNumberFormat="1" applyFont="1" applyFill="1" applyBorder="1" applyAlignment="1">
      <alignment horizontal="right" vertical="center"/>
      <protection/>
    </xf>
    <xf numFmtId="4" fontId="12" fillId="0" borderId="0" xfId="0" applyNumberFormat="1" applyFont="1" applyFill="1" applyBorder="1" applyAlignment="1">
      <alignment/>
    </xf>
    <xf numFmtId="1" fontId="2" fillId="0" borderId="0" xfId="85" applyNumberFormat="1" applyBorder="1" applyAlignment="1">
      <alignment/>
      <protection/>
    </xf>
    <xf numFmtId="1" fontId="11" fillId="0" borderId="0" xfId="48" applyNumberFormat="1" applyFont="1" applyFill="1" applyBorder="1" applyAlignment="1">
      <alignment horizontal="right"/>
    </xf>
    <xf numFmtId="1" fontId="11" fillId="0" borderId="0" xfId="85" applyNumberFormat="1" applyFont="1" applyFill="1" applyAlignment="1">
      <alignment/>
      <protection/>
    </xf>
    <xf numFmtId="1" fontId="11" fillId="0" borderId="0" xfId="48" applyNumberFormat="1" applyFont="1" applyFill="1" applyBorder="1" applyAlignment="1">
      <alignment/>
    </xf>
    <xf numFmtId="197" fontId="11" fillId="0" borderId="0" xfId="48" applyNumberFormat="1" applyFont="1" applyFill="1" applyBorder="1" applyAlignment="1">
      <alignment horizontal="right"/>
    </xf>
    <xf numFmtId="165" fontId="11" fillId="0" borderId="0" xfId="62" applyNumberFormat="1" applyFont="1" applyFill="1" applyAlignment="1">
      <alignment horizontal="right"/>
    </xf>
    <xf numFmtId="1" fontId="2" fillId="0" borderId="0" xfId="85" applyNumberFormat="1" applyAlignment="1">
      <alignment/>
      <protection/>
    </xf>
    <xf numFmtId="0" fontId="2" fillId="0" borderId="0" xfId="85" applyFont="1" applyAlignment="1">
      <alignment horizontal="left"/>
      <protection/>
    </xf>
    <xf numFmtId="0" fontId="4" fillId="0" borderId="0" xfId="0" applyFont="1" applyAlignment="1">
      <alignment horizontal="left"/>
    </xf>
    <xf numFmtId="0" fontId="2" fillId="0" borderId="0" xfId="85" applyFont="1" applyAlignment="1">
      <alignment wrapText="1"/>
      <protection/>
    </xf>
    <xf numFmtId="0" fontId="2" fillId="0" borderId="0" xfId="85" applyFont="1" applyAlignment="1">
      <alignment horizontal="left" wrapText="1"/>
      <protection/>
    </xf>
    <xf numFmtId="0" fontId="2" fillId="0" borderId="0" xfId="85" applyFont="1" applyFill="1" applyAlignment="1">
      <alignment horizontal="left" wrapText="1"/>
      <protection/>
    </xf>
    <xf numFmtId="0" fontId="6" fillId="0" borderId="0" xfId="0" applyFont="1" applyBorder="1" applyAlignment="1">
      <alignment horizontal="left"/>
    </xf>
    <xf numFmtId="49" fontId="2" fillId="34" borderId="0" xfId="0" applyNumberFormat="1" applyFont="1" applyFill="1" applyBorder="1" applyAlignment="1">
      <alignment horizontal="center" vertical="center"/>
    </xf>
    <xf numFmtId="49" fontId="2" fillId="34" borderId="0" xfId="85" applyNumberFormat="1" applyFont="1" applyFill="1" applyBorder="1" applyAlignment="1">
      <alignment horizontal="right"/>
      <protection/>
    </xf>
    <xf numFmtId="49" fontId="2" fillId="34" borderId="0" xfId="85" applyNumberFormat="1" applyFont="1" applyFill="1" applyBorder="1" applyAlignment="1">
      <alignment horizontal="center"/>
      <protection/>
    </xf>
    <xf numFmtId="0" fontId="6" fillId="0" borderId="0" xfId="85" applyFont="1" applyAlignment="1">
      <alignment horizontal="left"/>
      <protection/>
    </xf>
    <xf numFmtId="0" fontId="2" fillId="0" borderId="0" xfId="85" applyAlignment="1">
      <alignment horizontal="left"/>
      <protection/>
    </xf>
    <xf numFmtId="0" fontId="2" fillId="0" borderId="0" xfId="85" applyFont="1" applyAlignment="1">
      <alignment horizontal="left" wrapText="1"/>
      <protection/>
    </xf>
    <xf numFmtId="0" fontId="6" fillId="34" borderId="0" xfId="85" applyNumberFormat="1" applyFont="1" applyFill="1" applyBorder="1" applyAlignment="1">
      <alignment horizontal="left"/>
      <protection/>
    </xf>
    <xf numFmtId="0" fontId="2" fillId="34" borderId="0" xfId="85" applyNumberFormat="1" applyFont="1" applyFill="1" applyBorder="1" applyAlignment="1">
      <alignment horizontal="left" wrapText="1"/>
      <protection/>
    </xf>
    <xf numFmtId="0" fontId="2" fillId="0" borderId="0" xfId="85" applyFont="1" applyFill="1" applyAlignment="1">
      <alignment horizontal="left" vertical="top" wrapText="1"/>
      <protection/>
    </xf>
    <xf numFmtId="0" fontId="6" fillId="0" borderId="0" xfId="85" applyFont="1" applyAlignment="1">
      <alignment horizontal="left" vertical="top"/>
      <protection/>
    </xf>
    <xf numFmtId="0" fontId="2" fillId="0" borderId="0" xfId="85" applyFont="1" applyFill="1" applyAlignment="1">
      <alignment horizontal="left" vertical="top" wrapText="1"/>
      <protection/>
    </xf>
    <xf numFmtId="0" fontId="2" fillId="0" borderId="0" xfId="85" applyFill="1" applyAlignment="1">
      <alignment horizontal="left"/>
      <protection/>
    </xf>
    <xf numFmtId="0" fontId="7" fillId="34" borderId="0" xfId="85" applyNumberFormat="1" applyFont="1" applyFill="1" applyBorder="1" applyAlignment="1">
      <alignment horizontal="center" vertical="center" wrapText="1"/>
      <protection/>
    </xf>
    <xf numFmtId="0" fontId="7" fillId="34" borderId="0" xfId="85" applyNumberFormat="1" applyFont="1" applyFill="1" applyBorder="1" applyAlignment="1">
      <alignment horizontal="left" vertical="center" wrapText="1"/>
      <protection/>
    </xf>
    <xf numFmtId="0" fontId="2" fillId="0" borderId="0" xfId="85" applyFont="1" applyAlignment="1">
      <alignment horizontal="left"/>
      <protection/>
    </xf>
    <xf numFmtId="0" fontId="2" fillId="0" borderId="0" xfId="85" applyFont="1" applyAlignment="1">
      <alignment horizontal="left"/>
      <protection/>
    </xf>
    <xf numFmtId="0" fontId="2" fillId="0" borderId="0" xfId="85" applyFont="1" applyFill="1" applyAlignment="1">
      <alignment horizontal="left"/>
      <protection/>
    </xf>
    <xf numFmtId="3" fontId="6" fillId="34" borderId="0" xfId="85" applyNumberFormat="1" applyFont="1" applyFill="1" applyBorder="1" applyAlignment="1">
      <alignment horizontal="left" vertical="center"/>
      <protection/>
    </xf>
    <xf numFmtId="0" fontId="2" fillId="34" borderId="0" xfId="85" applyFont="1" applyFill="1" applyBorder="1" applyAlignment="1">
      <alignment horizontal="center" vertical="center"/>
      <protection/>
    </xf>
    <xf numFmtId="0" fontId="2" fillId="0" borderId="0" xfId="85" applyFill="1" applyAlignment="1">
      <alignment horizontal="left" wrapText="1"/>
      <protection/>
    </xf>
    <xf numFmtId="3" fontId="2" fillId="34" borderId="0" xfId="85" applyNumberFormat="1" applyFont="1" applyFill="1" applyBorder="1" applyAlignment="1">
      <alignment horizontal="left" wrapText="1"/>
      <protection/>
    </xf>
    <xf numFmtId="0" fontId="2" fillId="34" borderId="0" xfId="85" applyFont="1" applyFill="1" applyAlignment="1">
      <alignment horizontal="left" vertical="center"/>
      <protection/>
    </xf>
    <xf numFmtId="3" fontId="2" fillId="34" borderId="0" xfId="85" applyNumberFormat="1" applyFont="1" applyFill="1" applyBorder="1" applyAlignment="1">
      <alignment horizontal="left" vertical="center"/>
      <protection/>
    </xf>
    <xf numFmtId="0" fontId="10" fillId="0" borderId="0" xfId="85" applyFont="1" applyAlignment="1">
      <alignment horizontal="right"/>
      <protection/>
    </xf>
    <xf numFmtId="0" fontId="6" fillId="34" borderId="0" xfId="85" applyFont="1" applyFill="1" applyBorder="1" applyAlignment="1">
      <alignment horizontal="left" vertical="center"/>
      <protection/>
    </xf>
    <xf numFmtId="0" fontId="2" fillId="34" borderId="0" xfId="85" applyFont="1" applyFill="1" applyBorder="1" applyAlignment="1">
      <alignment horizontal="left" vertical="center"/>
      <protection/>
    </xf>
    <xf numFmtId="0" fontId="2" fillId="34" borderId="0" xfId="85" applyFont="1" applyFill="1" applyBorder="1" applyAlignment="1">
      <alignment horizontal="center" vertical="center"/>
      <protection/>
    </xf>
    <xf numFmtId="0" fontId="2" fillId="0" borderId="0" xfId="0" applyFont="1" applyAlignment="1">
      <alignment horizontal="left"/>
    </xf>
    <xf numFmtId="0" fontId="2" fillId="0" borderId="0" xfId="0" applyFont="1" applyAlignment="1">
      <alignment horizontal="left"/>
    </xf>
    <xf numFmtId="0" fontId="2" fillId="0" borderId="0" xfId="0" applyFont="1" applyFill="1" applyAlignment="1" quotePrefix="1">
      <alignment horizontal="left" indent="1"/>
    </xf>
    <xf numFmtId="0" fontId="2" fillId="0" borderId="0" xfId="0" applyFont="1" applyFill="1" applyAlignment="1">
      <alignment horizontal="left" indent="1"/>
    </xf>
    <xf numFmtId="0" fontId="6" fillId="0" borderId="0" xfId="0" applyFont="1" applyAlignment="1">
      <alignment horizontal="left"/>
    </xf>
    <xf numFmtId="0" fontId="2" fillId="0" borderId="0" xfId="0" applyFont="1" applyFill="1" applyAlignment="1" quotePrefix="1">
      <alignment horizontal="left" wrapText="1" indent="1"/>
    </xf>
    <xf numFmtId="0" fontId="2" fillId="0" borderId="0" xfId="0" applyFont="1" applyFill="1" applyAlignment="1">
      <alignment horizontal="left" wrapText="1" indent="1"/>
    </xf>
    <xf numFmtId="0" fontId="0" fillId="0" borderId="0" xfId="0" applyAlignment="1">
      <alignment horizontal="left"/>
    </xf>
    <xf numFmtId="0" fontId="2" fillId="0" borderId="0" xfId="0" applyFont="1" applyAlignment="1">
      <alignment horizontal="left" wrapText="1"/>
    </xf>
    <xf numFmtId="0" fontId="2" fillId="0" borderId="0" xfId="0" applyFont="1" applyAlignment="1">
      <alignment horizontal="left" wrapText="1"/>
    </xf>
    <xf numFmtId="0" fontId="2" fillId="0" borderId="0" xfId="0" applyFont="1" applyFill="1" applyAlignment="1">
      <alignment horizontal="left"/>
    </xf>
    <xf numFmtId="0" fontId="2" fillId="0" borderId="0" xfId="0" applyFont="1" applyFill="1" applyAlignment="1">
      <alignment horizontal="left"/>
    </xf>
    <xf numFmtId="0" fontId="6" fillId="0" borderId="0" xfId="0" applyFont="1" applyAlignment="1">
      <alignment/>
    </xf>
    <xf numFmtId="0" fontId="6" fillId="34" borderId="0" xfId="85" applyFont="1" applyFill="1" applyBorder="1" applyAlignment="1">
      <alignment horizontal="center" vertical="center"/>
      <protection/>
    </xf>
    <xf numFmtId="0" fontId="2" fillId="34" borderId="0" xfId="85" applyFont="1" applyFill="1" applyBorder="1" applyAlignment="1">
      <alignment horizontal="left"/>
      <protection/>
    </xf>
    <xf numFmtId="0" fontId="2" fillId="0" borderId="0" xfId="85" applyFill="1">
      <alignment/>
      <protection/>
    </xf>
    <xf numFmtId="1" fontId="2" fillId="0" borderId="0" xfId="85" applyNumberFormat="1" applyFill="1" applyBorder="1" applyAlignment="1">
      <alignment/>
      <protection/>
    </xf>
    <xf numFmtId="0" fontId="2" fillId="0" borderId="0" xfId="85" applyFill="1" applyBorder="1" applyAlignment="1">
      <alignment/>
      <protection/>
    </xf>
    <xf numFmtId="0" fontId="0" fillId="0" borderId="0" xfId="0" applyFill="1" applyAlignment="1">
      <alignment/>
    </xf>
    <xf numFmtId="41" fontId="2" fillId="0" borderId="0" xfId="85" applyNumberFormat="1" applyFill="1">
      <alignment/>
      <protection/>
    </xf>
    <xf numFmtId="0" fontId="42" fillId="0" borderId="0" xfId="47" applyAlignment="1">
      <alignment horizontal="right"/>
    </xf>
    <xf numFmtId="0" fontId="4" fillId="0" borderId="0" xfId="72" applyFont="1" applyAlignment="1">
      <alignment horizontal="right"/>
      <protection/>
    </xf>
    <xf numFmtId="0" fontId="0" fillId="0" borderId="0" xfId="72" applyAlignment="1">
      <alignment horizontal="right"/>
      <protection/>
    </xf>
    <xf numFmtId="15" fontId="32" fillId="0" borderId="0" xfId="72" applyNumberFormat="1" applyFont="1" applyAlignment="1">
      <alignment horizontal="right"/>
      <protection/>
    </xf>
    <xf numFmtId="0" fontId="0" fillId="0" borderId="0" xfId="0" applyAlignment="1">
      <alignment/>
    </xf>
    <xf numFmtId="0" fontId="2" fillId="0" borderId="0" xfId="85" applyAlignment="1">
      <alignment horizontal="left"/>
      <protection/>
    </xf>
    <xf numFmtId="0" fontId="0" fillId="0" borderId="0" xfId="72">
      <alignment/>
      <protection/>
    </xf>
    <xf numFmtId="0" fontId="4" fillId="0" borderId="0" xfId="72" applyFont="1" applyAlignment="1">
      <alignment/>
      <protection/>
    </xf>
    <xf numFmtId="0" fontId="4" fillId="0" borderId="0" xfId="72" applyFont="1" applyAlignment="1">
      <alignment horizontal="left"/>
      <protection/>
    </xf>
    <xf numFmtId="0" fontId="31" fillId="0" borderId="0" xfId="72" applyFont="1" applyAlignment="1">
      <alignment/>
      <protection/>
    </xf>
    <xf numFmtId="0" fontId="4" fillId="0" borderId="0" xfId="0" applyFont="1" applyAlignment="1">
      <alignment horizontal="left"/>
    </xf>
    <xf numFmtId="0" fontId="2" fillId="0" borderId="0" xfId="85" applyFont="1" applyAlignment="1">
      <alignment horizontal="left"/>
      <protection/>
    </xf>
  </cellXfs>
  <cellStyles count="8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Komma 2" xfId="49"/>
    <cellStyle name="Komma 2 2" xfId="50"/>
    <cellStyle name="Komma 2 2 2" xfId="51"/>
    <cellStyle name="Komma 2 3" xfId="52"/>
    <cellStyle name="Komma 26" xfId="53"/>
    <cellStyle name="Komma 3" xfId="54"/>
    <cellStyle name="Komma 3 2" xfId="55"/>
    <cellStyle name="Komma 3 2 2" xfId="56"/>
    <cellStyle name="Komma 3 3" xfId="57"/>
    <cellStyle name="Komma 3 4" xfId="58"/>
    <cellStyle name="Komma 4" xfId="59"/>
    <cellStyle name="Neutral" xfId="60"/>
    <cellStyle name="Notiz" xfId="61"/>
    <cellStyle name="Percent" xfId="62"/>
    <cellStyle name="Prozent 2" xfId="63"/>
    <cellStyle name="Prozent 2 2" xfId="64"/>
    <cellStyle name="Prozent 3" xfId="65"/>
    <cellStyle name="Prozent 3 2" xfId="66"/>
    <cellStyle name="Prozent 3 2 2" xfId="67"/>
    <cellStyle name="Prozent 3 3" xfId="68"/>
    <cellStyle name="Prozent 4" xfId="69"/>
    <cellStyle name="Schlecht" xfId="70"/>
    <cellStyle name="Standard 2" xfId="71"/>
    <cellStyle name="Standard 2 2" xfId="72"/>
    <cellStyle name="Standard 2 2 2" xfId="73"/>
    <cellStyle name="Standard 2 3" xfId="74"/>
    <cellStyle name="Standard 3" xfId="75"/>
    <cellStyle name="Standard 3 2" xfId="76"/>
    <cellStyle name="Standard 3 2 2" xfId="77"/>
    <cellStyle name="Standard 3 3" xfId="78"/>
    <cellStyle name="Standard 4" xfId="79"/>
    <cellStyle name="Standard 4 2" xfId="80"/>
    <cellStyle name="Standard 4 2 2" xfId="81"/>
    <cellStyle name="Standard 4 3" xfId="82"/>
    <cellStyle name="Standard 4 4" xfId="83"/>
    <cellStyle name="Standard 69" xfId="84"/>
    <cellStyle name="Standard_Tabelle von G: STATISTI ENERGIE PUBLIKAT 09Energie Energiestatistik 2009 Original" xfId="85"/>
    <cellStyle name="Überschrift" xfId="86"/>
    <cellStyle name="Überschrift 1" xfId="87"/>
    <cellStyle name="Überschrift 2" xfId="88"/>
    <cellStyle name="Überschrift 3" xfId="89"/>
    <cellStyle name="Überschrift 4" xfId="90"/>
    <cellStyle name="Verknüpfte Zelle" xfId="91"/>
    <cellStyle name="Currency" xfId="92"/>
    <cellStyle name="Currency [0]" xfId="93"/>
    <cellStyle name="Warnender Text" xfId="94"/>
    <cellStyle name="Zelle überprüfen" xfId="9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55A0"/>
      <rgbColor rgb="00FFFFFF"/>
      <rgbColor rgb="00FF0000"/>
      <rgbColor rgb="0000FF00"/>
      <rgbColor rgb="000000FF"/>
      <rgbColor rgb="00FFFF00"/>
      <rgbColor rgb="00FF00FF"/>
      <rgbColor rgb="0000FFFF"/>
      <rgbColor rgb="00800000"/>
      <rgbColor rgb="00008080"/>
      <rgbColor rgb="00000080"/>
      <rgbColor rgb="00999933"/>
      <rgbColor rgb="00800080"/>
      <rgbColor rgb="00008080"/>
      <rgbColor rgb="00C0C0C0"/>
      <rgbColor rgb="00808080"/>
      <rgbColor rgb="007AB2DD"/>
      <rgbColor rgb="00993366"/>
      <rgbColor rgb="00FFFFCC"/>
      <rgbColor rgb="00CCFFFF"/>
      <rgbColor rgb="00660066"/>
      <rgbColor rgb="00FF8080"/>
      <rgbColor rgb="000066CC"/>
      <rgbColor rgb="00CCCCFF"/>
      <rgbColor rgb="0095B9A6"/>
      <rgbColor rgb="00B9D7ED"/>
      <rgbColor rgb="00FFFF00"/>
      <rgbColor rgb="0000FFFF"/>
      <rgbColor rgb="00800080"/>
      <rgbColor rgb="0099CCFF"/>
      <rgbColor rgb="00008080"/>
      <rgbColor rgb="00004A94"/>
      <rgbColor rgb="0000CCFF"/>
      <rgbColor rgb="00CCFFFF"/>
      <rgbColor rgb="00CCFFCC"/>
      <rgbColor rgb="00FFFF99"/>
      <rgbColor rgb="0099CCFF"/>
      <rgbColor rgb="00FF99CC"/>
      <rgbColor rgb="00CC99FF"/>
      <rgbColor rgb="00FFCC99"/>
      <rgbColor rgb="003366FF"/>
      <rgbColor rgb="0033CCCC"/>
      <rgbColor rgb="00339933"/>
      <rgbColor rgb="00FFCC00"/>
      <rgbColor rgb="00FF9900"/>
      <rgbColor rgb="00FF6600"/>
      <rgbColor rgb="00666699"/>
      <rgbColor rgb="00969696"/>
      <rgbColor rgb="00003366"/>
      <rgbColor rgb="00339966"/>
      <rgbColor rgb="00003300"/>
      <rgbColor rgb="00359AFF"/>
      <rgbColor rgb="00B4CCE2"/>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Inhaltsverzeichni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0</xdr:colOff>
      <xdr:row>1</xdr:row>
      <xdr:rowOff>0</xdr:rowOff>
    </xdr:from>
    <xdr:to>
      <xdr:col>12</xdr:col>
      <xdr:colOff>200025</xdr:colOff>
      <xdr:row>2</xdr:row>
      <xdr:rowOff>57150</xdr:rowOff>
    </xdr:to>
    <xdr:pic>
      <xdr:nvPicPr>
        <xdr:cNvPr id="1" name="Grafik 1">
          <a:hlinkClick r:id="rId3"/>
        </xdr:cNvPr>
        <xdr:cNvPicPr preferRelativeResize="1">
          <a:picLocks noChangeAspect="1"/>
        </xdr:cNvPicPr>
      </xdr:nvPicPr>
      <xdr:blipFill>
        <a:blip r:embed="rId1"/>
        <a:stretch>
          <a:fillRect/>
        </a:stretch>
      </xdr:blipFill>
      <xdr:spPr>
        <a:xfrm>
          <a:off x="7029450" y="161925"/>
          <a:ext cx="200025" cy="2000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504825</xdr:colOff>
      <xdr:row>0</xdr:row>
      <xdr:rowOff>0</xdr:rowOff>
    </xdr:from>
    <xdr:to>
      <xdr:col>14</xdr:col>
      <xdr:colOff>200025</xdr:colOff>
      <xdr:row>1</xdr:row>
      <xdr:rowOff>38100</xdr:rowOff>
    </xdr:to>
    <xdr:pic>
      <xdr:nvPicPr>
        <xdr:cNvPr id="1" name="Grafik 1">
          <a:hlinkClick r:id="rId3"/>
        </xdr:cNvPr>
        <xdr:cNvPicPr preferRelativeResize="1">
          <a:picLocks noChangeAspect="1"/>
        </xdr:cNvPicPr>
      </xdr:nvPicPr>
      <xdr:blipFill>
        <a:blip r:embed="rId1"/>
        <a:stretch>
          <a:fillRect/>
        </a:stretch>
      </xdr:blipFill>
      <xdr:spPr>
        <a:xfrm>
          <a:off x="7181850" y="0"/>
          <a:ext cx="200025" cy="2000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0</xdr:row>
      <xdr:rowOff>0</xdr:rowOff>
    </xdr:from>
    <xdr:to>
      <xdr:col>8</xdr:col>
      <xdr:colOff>200025</xdr:colOff>
      <xdr:row>1</xdr:row>
      <xdr:rowOff>38100</xdr:rowOff>
    </xdr:to>
    <xdr:pic>
      <xdr:nvPicPr>
        <xdr:cNvPr id="1" name="Grafik 1">
          <a:hlinkClick r:id="rId3"/>
        </xdr:cNvPr>
        <xdr:cNvPicPr preferRelativeResize="1">
          <a:picLocks noChangeAspect="1"/>
        </xdr:cNvPicPr>
      </xdr:nvPicPr>
      <xdr:blipFill>
        <a:blip r:embed="rId1"/>
        <a:stretch>
          <a:fillRect/>
        </a:stretch>
      </xdr:blipFill>
      <xdr:spPr>
        <a:xfrm>
          <a:off x="5524500" y="0"/>
          <a:ext cx="200025" cy="2000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1552575</xdr:colOff>
      <xdr:row>0</xdr:row>
      <xdr:rowOff>0</xdr:rowOff>
    </xdr:from>
    <xdr:to>
      <xdr:col>5</xdr:col>
      <xdr:colOff>200025</xdr:colOff>
      <xdr:row>1</xdr:row>
      <xdr:rowOff>38100</xdr:rowOff>
    </xdr:to>
    <xdr:pic>
      <xdr:nvPicPr>
        <xdr:cNvPr id="1" name="Grafik 1">
          <a:hlinkClick r:id="rId3"/>
        </xdr:cNvPr>
        <xdr:cNvPicPr preferRelativeResize="1">
          <a:picLocks noChangeAspect="1"/>
        </xdr:cNvPicPr>
      </xdr:nvPicPr>
      <xdr:blipFill>
        <a:blip r:embed="rId1"/>
        <a:stretch>
          <a:fillRect/>
        </a:stretch>
      </xdr:blipFill>
      <xdr:spPr>
        <a:xfrm>
          <a:off x="7191375" y="0"/>
          <a:ext cx="200025" cy="2000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0</xdr:rowOff>
    </xdr:from>
    <xdr:to>
      <xdr:col>6</xdr:col>
      <xdr:colOff>200025</xdr:colOff>
      <xdr:row>1</xdr:row>
      <xdr:rowOff>38100</xdr:rowOff>
    </xdr:to>
    <xdr:pic>
      <xdr:nvPicPr>
        <xdr:cNvPr id="1" name="Grafik 1">
          <a:hlinkClick r:id="rId3"/>
        </xdr:cNvPr>
        <xdr:cNvPicPr preferRelativeResize="1">
          <a:picLocks noChangeAspect="1"/>
        </xdr:cNvPicPr>
      </xdr:nvPicPr>
      <xdr:blipFill>
        <a:blip r:embed="rId1"/>
        <a:stretch>
          <a:fillRect/>
        </a:stretch>
      </xdr:blipFill>
      <xdr:spPr>
        <a:xfrm>
          <a:off x="6181725" y="0"/>
          <a:ext cx="200025" cy="2000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0</xdr:rowOff>
    </xdr:from>
    <xdr:to>
      <xdr:col>6</xdr:col>
      <xdr:colOff>200025</xdr:colOff>
      <xdr:row>1</xdr:row>
      <xdr:rowOff>38100</xdr:rowOff>
    </xdr:to>
    <xdr:pic>
      <xdr:nvPicPr>
        <xdr:cNvPr id="1" name="Grafik 1">
          <a:hlinkClick r:id="rId3"/>
        </xdr:cNvPr>
        <xdr:cNvPicPr preferRelativeResize="1">
          <a:picLocks noChangeAspect="1"/>
        </xdr:cNvPicPr>
      </xdr:nvPicPr>
      <xdr:blipFill>
        <a:blip r:embed="rId1"/>
        <a:stretch>
          <a:fillRect/>
        </a:stretch>
      </xdr:blipFill>
      <xdr:spPr>
        <a:xfrm>
          <a:off x="5715000" y="0"/>
          <a:ext cx="200025" cy="2000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0</xdr:row>
      <xdr:rowOff>0</xdr:rowOff>
    </xdr:from>
    <xdr:to>
      <xdr:col>7</xdr:col>
      <xdr:colOff>200025</xdr:colOff>
      <xdr:row>1</xdr:row>
      <xdr:rowOff>38100</xdr:rowOff>
    </xdr:to>
    <xdr:pic>
      <xdr:nvPicPr>
        <xdr:cNvPr id="1" name="Grafik 1">
          <a:hlinkClick r:id="rId3"/>
        </xdr:cNvPr>
        <xdr:cNvPicPr preferRelativeResize="1">
          <a:picLocks noChangeAspect="1"/>
        </xdr:cNvPicPr>
      </xdr:nvPicPr>
      <xdr:blipFill>
        <a:blip r:embed="rId1"/>
        <a:stretch>
          <a:fillRect/>
        </a:stretch>
      </xdr:blipFill>
      <xdr:spPr>
        <a:xfrm>
          <a:off x="6181725" y="0"/>
          <a:ext cx="200025" cy="2000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0</xdr:row>
      <xdr:rowOff>0</xdr:rowOff>
    </xdr:from>
    <xdr:to>
      <xdr:col>7</xdr:col>
      <xdr:colOff>200025</xdr:colOff>
      <xdr:row>1</xdr:row>
      <xdr:rowOff>38100</xdr:rowOff>
    </xdr:to>
    <xdr:pic>
      <xdr:nvPicPr>
        <xdr:cNvPr id="1" name="Grafik 1">
          <a:hlinkClick r:id="rId3"/>
        </xdr:cNvPr>
        <xdr:cNvPicPr preferRelativeResize="1">
          <a:picLocks noChangeAspect="1"/>
        </xdr:cNvPicPr>
      </xdr:nvPicPr>
      <xdr:blipFill>
        <a:blip r:embed="rId1"/>
        <a:stretch>
          <a:fillRect/>
        </a:stretch>
      </xdr:blipFill>
      <xdr:spPr>
        <a:xfrm>
          <a:off x="6181725" y="0"/>
          <a:ext cx="200025" cy="200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0</xdr:row>
      <xdr:rowOff>0</xdr:rowOff>
    </xdr:from>
    <xdr:to>
      <xdr:col>11</xdr:col>
      <xdr:colOff>200025</xdr:colOff>
      <xdr:row>1</xdr:row>
      <xdr:rowOff>38100</xdr:rowOff>
    </xdr:to>
    <xdr:pic>
      <xdr:nvPicPr>
        <xdr:cNvPr id="1" name="Grafik 1">
          <a:hlinkClick r:id="rId3"/>
        </xdr:cNvPr>
        <xdr:cNvPicPr preferRelativeResize="1">
          <a:picLocks noChangeAspect="1"/>
        </xdr:cNvPicPr>
      </xdr:nvPicPr>
      <xdr:blipFill>
        <a:blip r:embed="rId1"/>
        <a:stretch>
          <a:fillRect/>
        </a:stretch>
      </xdr:blipFill>
      <xdr:spPr>
        <a:xfrm>
          <a:off x="7010400" y="0"/>
          <a:ext cx="200025" cy="209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0</xdr:colOff>
      <xdr:row>0</xdr:row>
      <xdr:rowOff>0</xdr:rowOff>
    </xdr:from>
    <xdr:to>
      <xdr:col>12</xdr:col>
      <xdr:colOff>200025</xdr:colOff>
      <xdr:row>1</xdr:row>
      <xdr:rowOff>38100</xdr:rowOff>
    </xdr:to>
    <xdr:pic>
      <xdr:nvPicPr>
        <xdr:cNvPr id="1" name="Grafik 1">
          <a:hlinkClick r:id="rId3"/>
        </xdr:cNvPr>
        <xdr:cNvPicPr preferRelativeResize="1">
          <a:picLocks noChangeAspect="1"/>
        </xdr:cNvPicPr>
      </xdr:nvPicPr>
      <xdr:blipFill>
        <a:blip r:embed="rId1"/>
        <a:stretch>
          <a:fillRect/>
        </a:stretch>
      </xdr:blipFill>
      <xdr:spPr>
        <a:xfrm>
          <a:off x="7667625" y="0"/>
          <a:ext cx="200025" cy="200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1</xdr:row>
      <xdr:rowOff>142875</xdr:rowOff>
    </xdr:from>
    <xdr:to>
      <xdr:col>3</xdr:col>
      <xdr:colOff>200025</xdr:colOff>
      <xdr:row>3</xdr:row>
      <xdr:rowOff>9525</xdr:rowOff>
    </xdr:to>
    <xdr:pic>
      <xdr:nvPicPr>
        <xdr:cNvPr id="1" name="Grafik 1">
          <a:hlinkClick r:id="rId3"/>
        </xdr:cNvPr>
        <xdr:cNvPicPr preferRelativeResize="1">
          <a:picLocks noChangeAspect="1"/>
        </xdr:cNvPicPr>
      </xdr:nvPicPr>
      <xdr:blipFill>
        <a:blip r:embed="rId1"/>
        <a:stretch>
          <a:fillRect/>
        </a:stretch>
      </xdr:blipFill>
      <xdr:spPr>
        <a:xfrm>
          <a:off x="2809875" y="304800"/>
          <a:ext cx="200025" cy="200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0</xdr:row>
      <xdr:rowOff>0</xdr:rowOff>
    </xdr:from>
    <xdr:to>
      <xdr:col>5</xdr:col>
      <xdr:colOff>200025</xdr:colOff>
      <xdr:row>1</xdr:row>
      <xdr:rowOff>38100</xdr:rowOff>
    </xdr:to>
    <xdr:pic>
      <xdr:nvPicPr>
        <xdr:cNvPr id="1" name="Grafik 1">
          <a:hlinkClick r:id="rId3"/>
        </xdr:cNvPr>
        <xdr:cNvPicPr preferRelativeResize="1">
          <a:picLocks noChangeAspect="1"/>
        </xdr:cNvPicPr>
      </xdr:nvPicPr>
      <xdr:blipFill>
        <a:blip r:embed="rId1"/>
        <a:stretch>
          <a:fillRect/>
        </a:stretch>
      </xdr:blipFill>
      <xdr:spPr>
        <a:xfrm>
          <a:off x="5057775" y="0"/>
          <a:ext cx="200025" cy="2000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1019175</xdr:colOff>
      <xdr:row>0</xdr:row>
      <xdr:rowOff>0</xdr:rowOff>
    </xdr:from>
    <xdr:to>
      <xdr:col>10</xdr:col>
      <xdr:colOff>200025</xdr:colOff>
      <xdr:row>1</xdr:row>
      <xdr:rowOff>38100</xdr:rowOff>
    </xdr:to>
    <xdr:pic>
      <xdr:nvPicPr>
        <xdr:cNvPr id="1" name="Grafik 1">
          <a:hlinkClick r:id="rId3"/>
        </xdr:cNvPr>
        <xdr:cNvPicPr preferRelativeResize="1">
          <a:picLocks noChangeAspect="1"/>
        </xdr:cNvPicPr>
      </xdr:nvPicPr>
      <xdr:blipFill>
        <a:blip r:embed="rId1"/>
        <a:stretch>
          <a:fillRect/>
        </a:stretch>
      </xdr:blipFill>
      <xdr:spPr>
        <a:xfrm>
          <a:off x="6972300" y="0"/>
          <a:ext cx="200025" cy="2000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200025</xdr:colOff>
      <xdr:row>0</xdr:row>
      <xdr:rowOff>28575</xdr:rowOff>
    </xdr:from>
    <xdr:to>
      <xdr:col>5</xdr:col>
      <xdr:colOff>400050</xdr:colOff>
      <xdr:row>1</xdr:row>
      <xdr:rowOff>57150</xdr:rowOff>
    </xdr:to>
    <xdr:pic>
      <xdr:nvPicPr>
        <xdr:cNvPr id="1" name="Grafik 2">
          <a:hlinkClick r:id="rId3"/>
        </xdr:cNvPr>
        <xdr:cNvPicPr preferRelativeResize="1">
          <a:picLocks noChangeAspect="1"/>
        </xdr:cNvPicPr>
      </xdr:nvPicPr>
      <xdr:blipFill>
        <a:blip r:embed="rId1"/>
        <a:stretch>
          <a:fillRect/>
        </a:stretch>
      </xdr:blipFill>
      <xdr:spPr>
        <a:xfrm>
          <a:off x="3409950" y="28575"/>
          <a:ext cx="200025" cy="1905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276225</xdr:colOff>
      <xdr:row>0</xdr:row>
      <xdr:rowOff>19050</xdr:rowOff>
    </xdr:from>
    <xdr:to>
      <xdr:col>4</xdr:col>
      <xdr:colOff>476250</xdr:colOff>
      <xdr:row>1</xdr:row>
      <xdr:rowOff>47625</xdr:rowOff>
    </xdr:to>
    <xdr:pic>
      <xdr:nvPicPr>
        <xdr:cNvPr id="1" name="Grafik 2">
          <a:hlinkClick r:id="rId3"/>
        </xdr:cNvPr>
        <xdr:cNvPicPr preferRelativeResize="1">
          <a:picLocks noChangeAspect="1"/>
        </xdr:cNvPicPr>
      </xdr:nvPicPr>
      <xdr:blipFill>
        <a:blip r:embed="rId1"/>
        <a:stretch>
          <a:fillRect/>
        </a:stretch>
      </xdr:blipFill>
      <xdr:spPr>
        <a:xfrm>
          <a:off x="3743325" y="19050"/>
          <a:ext cx="200025" cy="2000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0</xdr:colOff>
      <xdr:row>0</xdr:row>
      <xdr:rowOff>0</xdr:rowOff>
    </xdr:from>
    <xdr:to>
      <xdr:col>14</xdr:col>
      <xdr:colOff>200025</xdr:colOff>
      <xdr:row>1</xdr:row>
      <xdr:rowOff>38100</xdr:rowOff>
    </xdr:to>
    <xdr:pic>
      <xdr:nvPicPr>
        <xdr:cNvPr id="1" name="Grafik 1">
          <a:hlinkClick r:id="rId3"/>
        </xdr:cNvPr>
        <xdr:cNvPicPr preferRelativeResize="1">
          <a:picLocks noChangeAspect="1"/>
        </xdr:cNvPicPr>
      </xdr:nvPicPr>
      <xdr:blipFill>
        <a:blip r:embed="rId1"/>
        <a:stretch>
          <a:fillRect/>
        </a:stretch>
      </xdr:blipFill>
      <xdr:spPr>
        <a:xfrm>
          <a:off x="8791575" y="0"/>
          <a:ext cx="200025" cy="200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19"/>
  <sheetViews>
    <sheetView tabSelected="1" zoomScale="115" zoomScaleNormal="115" zoomScalePageLayoutView="0" workbookViewId="0" topLeftCell="A1">
      <selection activeCell="A30" sqref="A30"/>
    </sheetView>
  </sheetViews>
  <sheetFormatPr defaultColWidth="11.421875" defaultRowHeight="12.75"/>
  <cols>
    <col min="1" max="1" width="70.28125" style="0" customWidth="1"/>
    <col min="2" max="2" width="11.421875" style="1" customWidth="1"/>
  </cols>
  <sheetData>
    <row r="1" spans="1:8" ht="20.25">
      <c r="A1" s="263" t="s">
        <v>219</v>
      </c>
      <c r="B1" s="257"/>
      <c r="C1" s="261"/>
      <c r="D1" s="261"/>
      <c r="E1" s="261"/>
      <c r="F1" s="261"/>
      <c r="G1" s="261"/>
      <c r="H1" s="261"/>
    </row>
    <row r="2" spans="1:8" ht="12.75">
      <c r="A2" s="260"/>
      <c r="B2" s="256"/>
      <c r="C2" s="260"/>
      <c r="D2" s="260"/>
      <c r="E2" s="260"/>
      <c r="F2" s="260"/>
      <c r="G2" s="260"/>
      <c r="H2" s="260"/>
    </row>
    <row r="3" spans="1:8" ht="12.75">
      <c r="A3" s="262" t="s">
        <v>216</v>
      </c>
      <c r="B3" s="255" t="s">
        <v>217</v>
      </c>
      <c r="C3" s="260"/>
      <c r="D3" s="260"/>
      <c r="E3" s="260"/>
      <c r="F3" s="260"/>
      <c r="G3" s="260"/>
      <c r="H3" s="260"/>
    </row>
    <row r="4" spans="1:8" ht="12.75">
      <c r="A4" s="258" t="s">
        <v>190</v>
      </c>
      <c r="B4" s="254" t="s">
        <v>85</v>
      </c>
      <c r="C4" s="260"/>
      <c r="D4" s="260"/>
      <c r="E4" s="260"/>
      <c r="F4" s="260"/>
      <c r="G4" s="260"/>
      <c r="H4" s="260"/>
    </row>
    <row r="5" spans="1:8" ht="12.75">
      <c r="A5" s="258" t="s">
        <v>191</v>
      </c>
      <c r="B5" s="254" t="s">
        <v>86</v>
      </c>
      <c r="C5" s="260"/>
      <c r="D5" s="260"/>
      <c r="E5" s="260"/>
      <c r="F5" s="260"/>
      <c r="G5" s="260"/>
      <c r="H5" s="260"/>
    </row>
    <row r="6" spans="1:8" ht="12.75">
      <c r="A6" s="258" t="s">
        <v>218</v>
      </c>
      <c r="B6" s="254" t="s">
        <v>87</v>
      </c>
      <c r="C6" s="260"/>
      <c r="D6" s="260"/>
      <c r="E6" s="260"/>
      <c r="F6" s="260"/>
      <c r="G6" s="260"/>
      <c r="H6" s="260"/>
    </row>
    <row r="7" spans="1:8" ht="12.75">
      <c r="A7" s="258" t="s">
        <v>59</v>
      </c>
      <c r="B7" s="254" t="s">
        <v>88</v>
      </c>
      <c r="C7" s="260"/>
      <c r="D7" s="260"/>
      <c r="E7" s="260"/>
      <c r="F7" s="260"/>
      <c r="G7" s="260"/>
      <c r="H7" s="260"/>
    </row>
    <row r="8" spans="1:8" ht="12.75">
      <c r="A8" s="258" t="s">
        <v>58</v>
      </c>
      <c r="B8" s="254" t="s">
        <v>89</v>
      </c>
      <c r="C8" s="260"/>
      <c r="D8" s="260"/>
      <c r="E8" s="260"/>
      <c r="F8" s="260"/>
      <c r="G8" s="260"/>
      <c r="H8" s="260"/>
    </row>
    <row r="9" spans="1:8" ht="12.75">
      <c r="A9" s="258" t="s">
        <v>115</v>
      </c>
      <c r="B9" s="254" t="s">
        <v>90</v>
      </c>
      <c r="C9" s="260"/>
      <c r="D9" s="260"/>
      <c r="E9" s="260"/>
      <c r="F9" s="260"/>
      <c r="G9" s="260"/>
      <c r="H9" s="260"/>
    </row>
    <row r="10" spans="1:8" ht="12.75">
      <c r="A10" s="258" t="s">
        <v>149</v>
      </c>
      <c r="B10" s="254" t="s">
        <v>91</v>
      </c>
      <c r="C10" s="260"/>
      <c r="D10" s="260"/>
      <c r="E10" s="260"/>
      <c r="F10" s="260"/>
      <c r="G10" s="260"/>
      <c r="H10" s="260"/>
    </row>
    <row r="11" spans="1:8" ht="12.75">
      <c r="A11" s="258" t="s">
        <v>60</v>
      </c>
      <c r="B11" s="254" t="s">
        <v>92</v>
      </c>
      <c r="C11" s="260"/>
      <c r="D11" s="260"/>
      <c r="E11" s="260"/>
      <c r="F11" s="260"/>
      <c r="G11" s="260"/>
      <c r="H11" s="260"/>
    </row>
    <row r="12" spans="1:8" ht="12.75">
      <c r="A12" s="258" t="s">
        <v>61</v>
      </c>
      <c r="B12" s="254" t="s">
        <v>93</v>
      </c>
      <c r="C12" s="260"/>
      <c r="D12" s="260"/>
      <c r="E12" s="260"/>
      <c r="F12" s="260"/>
      <c r="G12" s="260"/>
      <c r="H12" s="260"/>
    </row>
    <row r="13" spans="1:8" ht="12.75">
      <c r="A13" s="258" t="s">
        <v>187</v>
      </c>
      <c r="B13" s="254" t="s">
        <v>94</v>
      </c>
      <c r="C13" s="260"/>
      <c r="D13" s="260"/>
      <c r="E13" s="260"/>
      <c r="F13" s="260"/>
      <c r="G13" s="260"/>
      <c r="H13" s="260"/>
    </row>
    <row r="14" spans="1:8" ht="12.75">
      <c r="A14" s="258" t="s">
        <v>80</v>
      </c>
      <c r="B14" s="254" t="s">
        <v>95</v>
      </c>
      <c r="C14" s="260"/>
      <c r="D14" s="260"/>
      <c r="E14" s="260"/>
      <c r="F14" s="260"/>
      <c r="G14" s="260"/>
      <c r="H14" s="260"/>
    </row>
    <row r="15" spans="1:8" ht="12.75">
      <c r="A15" s="258" t="s">
        <v>106</v>
      </c>
      <c r="B15" s="254" t="s">
        <v>96</v>
      </c>
      <c r="C15" s="260"/>
      <c r="D15" s="260"/>
      <c r="E15" s="260"/>
      <c r="F15" s="260"/>
      <c r="G15" s="260"/>
      <c r="H15" s="260"/>
    </row>
    <row r="16" spans="1:8" ht="12.75">
      <c r="A16" s="258" t="s">
        <v>194</v>
      </c>
      <c r="B16" s="254" t="s">
        <v>97</v>
      </c>
      <c r="C16" s="260"/>
      <c r="D16" s="260"/>
      <c r="E16" s="260"/>
      <c r="F16" s="260"/>
      <c r="G16" s="260"/>
      <c r="H16" s="260"/>
    </row>
    <row r="17" spans="1:2" ht="12.75">
      <c r="A17" s="258" t="s">
        <v>144</v>
      </c>
      <c r="B17" s="254" t="s">
        <v>133</v>
      </c>
    </row>
    <row r="18" spans="1:2" ht="12.75">
      <c r="A18" s="258" t="s">
        <v>195</v>
      </c>
      <c r="B18" s="254" t="s">
        <v>152</v>
      </c>
    </row>
    <row r="19" spans="1:2" ht="12.75">
      <c r="A19" s="258" t="s">
        <v>167</v>
      </c>
      <c r="B19" s="254" t="s">
        <v>166</v>
      </c>
    </row>
  </sheetData>
  <sheetProtection/>
  <hyperlinks>
    <hyperlink ref="B4" location="'Tabelle 1'!A1" display="Tabelle 1"/>
    <hyperlink ref="B5" location="'Tabelle 2'!A1" display="Tabelle 2"/>
    <hyperlink ref="B6" location="'Tabelle 3'!A1" display="Tabelle 3"/>
    <hyperlink ref="B7" location="'Tabelle 4'!A1" display="Tabelle 4"/>
    <hyperlink ref="B8" location="'Tabelle 5'!A1" display="Tabelle 5"/>
    <hyperlink ref="B9" location="'Tabelle 6'!A1" display="Tabelle 6"/>
    <hyperlink ref="B10" location="'Tabelle 7'!A1" display="Tabelle 7"/>
    <hyperlink ref="B11" location="'Tabelle 8'!A1" display="Tabelle 8"/>
    <hyperlink ref="B12" location="'Tabelle 9'!A1" display="Tabelle 9"/>
    <hyperlink ref="B13" location="'Tabelle 10'!A1" display="Tabelle 10"/>
    <hyperlink ref="B14" location="'Tabelle 11'!A1" display="Tabelle 11"/>
    <hyperlink ref="B15" location="'Tabelle 12'!A1" display="Tabelle 12"/>
    <hyperlink ref="B16" location="'Tabelle 13'!A1" display="Tabelle 13"/>
    <hyperlink ref="B17" location="'Tabelle 14'!A1" display="Tabelle 14"/>
    <hyperlink ref="B18" location="'Tabelle 15'!A1" display="Tabelle 15"/>
    <hyperlink ref="B19" location="'Tabelle 16'!A1" display="Tabelle 16"/>
  </hyperlinks>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rgb="FF92D050"/>
  </sheetPr>
  <dimension ref="A1:N41"/>
  <sheetViews>
    <sheetView showGridLines="0" zoomScale="130" zoomScaleNormal="130" zoomScalePageLayoutView="0" workbookViewId="0" topLeftCell="A1">
      <pane ySplit="4" topLeftCell="A5" activePane="bottomLeft" state="frozen"/>
      <selection pane="topLeft" activeCell="H30" sqref="H30"/>
      <selection pane="bottomLeft" activeCell="O11" sqref="O11"/>
    </sheetView>
  </sheetViews>
  <sheetFormatPr defaultColWidth="10.28125" defaultRowHeight="12.75"/>
  <cols>
    <col min="1" max="1" width="4.8515625" style="9" customWidth="1"/>
    <col min="2" max="3" width="10.28125" style="44" customWidth="1"/>
    <col min="4" max="4" width="13.57421875" style="44" customWidth="1"/>
    <col min="5" max="5" width="10.28125" style="44" customWidth="1"/>
    <col min="6" max="12" width="8.8515625" style="44" customWidth="1"/>
    <col min="13" max="16384" width="10.28125" style="9" customWidth="1"/>
  </cols>
  <sheetData>
    <row r="1" spans="1:14" ht="12.75">
      <c r="A1" s="202" t="s">
        <v>61</v>
      </c>
      <c r="B1" s="202"/>
      <c r="C1" s="202"/>
      <c r="D1" s="202"/>
      <c r="E1" s="202"/>
      <c r="F1" s="202"/>
      <c r="G1" s="202"/>
      <c r="H1" s="202"/>
      <c r="I1" s="202"/>
      <c r="J1" s="202"/>
      <c r="K1" s="202"/>
      <c r="L1" s="202"/>
      <c r="M1" s="202"/>
      <c r="N1" s="202"/>
    </row>
    <row r="2" spans="10:14" ht="11.25">
      <c r="J2" s="98"/>
      <c r="K2" s="98"/>
      <c r="M2" s="98"/>
      <c r="N2" s="98" t="s">
        <v>93</v>
      </c>
    </row>
    <row r="3" spans="1:14" s="38" customFormat="1" ht="20.25" customHeight="1">
      <c r="A3" s="219" t="s">
        <v>0</v>
      </c>
      <c r="B3" s="89" t="s">
        <v>7</v>
      </c>
      <c r="C3" s="220" t="s">
        <v>17</v>
      </c>
      <c r="D3" s="220"/>
      <c r="E3" s="220"/>
      <c r="F3" s="220"/>
      <c r="G3" s="220"/>
      <c r="H3" s="220"/>
      <c r="I3" s="220"/>
      <c r="J3" s="220"/>
      <c r="K3" s="220"/>
      <c r="L3" s="220"/>
      <c r="M3" s="94"/>
      <c r="N3" s="94"/>
    </row>
    <row r="4" spans="1:14" s="38" customFormat="1" ht="22.5">
      <c r="A4" s="219"/>
      <c r="B4" s="89"/>
      <c r="C4" s="90" t="s">
        <v>76</v>
      </c>
      <c r="D4" s="90" t="s">
        <v>64</v>
      </c>
      <c r="E4" s="90" t="s">
        <v>18</v>
      </c>
      <c r="F4" s="90" t="s">
        <v>19</v>
      </c>
      <c r="G4" s="90" t="s">
        <v>20</v>
      </c>
      <c r="H4" s="90" t="s">
        <v>21</v>
      </c>
      <c r="I4" s="90" t="s">
        <v>22</v>
      </c>
      <c r="J4" s="90" t="s">
        <v>23</v>
      </c>
      <c r="K4" s="90" t="s">
        <v>100</v>
      </c>
      <c r="L4" s="90" t="s">
        <v>102</v>
      </c>
      <c r="M4" s="90" t="s">
        <v>108</v>
      </c>
      <c r="N4" s="90" t="s">
        <v>151</v>
      </c>
    </row>
    <row r="5" spans="1:14" s="5" customFormat="1" ht="18" customHeight="1">
      <c r="A5" s="39">
        <v>1990</v>
      </c>
      <c r="B5" s="45">
        <f>SUM(C5:I5)</f>
        <v>55412</v>
      </c>
      <c r="C5" s="45">
        <v>54674</v>
      </c>
      <c r="D5" s="45">
        <v>738</v>
      </c>
      <c r="E5" s="45" t="s">
        <v>16</v>
      </c>
      <c r="F5" s="45" t="s">
        <v>16</v>
      </c>
      <c r="G5" s="45" t="s">
        <v>16</v>
      </c>
      <c r="H5" s="45" t="s">
        <v>16</v>
      </c>
      <c r="I5" s="45" t="s">
        <v>16</v>
      </c>
      <c r="J5" s="45" t="s">
        <v>16</v>
      </c>
      <c r="K5" s="45" t="s">
        <v>16</v>
      </c>
      <c r="L5" s="45" t="s">
        <v>16</v>
      </c>
      <c r="M5" s="45" t="s">
        <v>16</v>
      </c>
      <c r="N5" s="45" t="s">
        <v>16</v>
      </c>
    </row>
    <row r="6" spans="1:14" s="5" customFormat="1" ht="13.5" customHeight="1">
      <c r="A6" s="39">
        <v>1991</v>
      </c>
      <c r="B6" s="45">
        <f aca="true" t="shared" si="0" ref="B6:B19">SUM(C6:I6)</f>
        <v>54738</v>
      </c>
      <c r="C6" s="45">
        <v>53777</v>
      </c>
      <c r="D6" s="45">
        <v>961</v>
      </c>
      <c r="E6" s="45" t="s">
        <v>16</v>
      </c>
      <c r="F6" s="45" t="s">
        <v>16</v>
      </c>
      <c r="G6" s="45" t="s">
        <v>16</v>
      </c>
      <c r="H6" s="45" t="s">
        <v>16</v>
      </c>
      <c r="I6" s="45" t="s">
        <v>16</v>
      </c>
      <c r="J6" s="45" t="s">
        <v>16</v>
      </c>
      <c r="K6" s="45" t="s">
        <v>16</v>
      </c>
      <c r="L6" s="45" t="s">
        <v>16</v>
      </c>
      <c r="M6" s="45" t="s">
        <v>16</v>
      </c>
      <c r="N6" s="45" t="s">
        <v>16</v>
      </c>
    </row>
    <row r="7" spans="1:14" s="5" customFormat="1" ht="13.5" customHeight="1">
      <c r="A7" s="39">
        <v>1992</v>
      </c>
      <c r="B7" s="45">
        <f t="shared" si="0"/>
        <v>61716</v>
      </c>
      <c r="C7" s="45">
        <v>59655</v>
      </c>
      <c r="D7" s="45">
        <v>2061</v>
      </c>
      <c r="E7" s="45" t="s">
        <v>16</v>
      </c>
      <c r="F7" s="45" t="s">
        <v>16</v>
      </c>
      <c r="G7" s="45" t="s">
        <v>16</v>
      </c>
      <c r="H7" s="45" t="s">
        <v>16</v>
      </c>
      <c r="I7" s="45" t="s">
        <v>16</v>
      </c>
      <c r="J7" s="45" t="s">
        <v>16</v>
      </c>
      <c r="K7" s="45" t="s">
        <v>16</v>
      </c>
      <c r="L7" s="45" t="s">
        <v>16</v>
      </c>
      <c r="M7" s="45" t="s">
        <v>16</v>
      </c>
      <c r="N7" s="45" t="s">
        <v>16</v>
      </c>
    </row>
    <row r="8" spans="1:14" s="5" customFormat="1" ht="13.5" customHeight="1">
      <c r="A8" s="39">
        <v>1993</v>
      </c>
      <c r="B8" s="45">
        <f t="shared" si="0"/>
        <v>67518</v>
      </c>
      <c r="C8" s="45">
        <v>64880</v>
      </c>
      <c r="D8" s="45">
        <v>2638</v>
      </c>
      <c r="E8" s="45" t="s">
        <v>16</v>
      </c>
      <c r="F8" s="45" t="s">
        <v>16</v>
      </c>
      <c r="G8" s="45" t="s">
        <v>16</v>
      </c>
      <c r="H8" s="45" t="s">
        <v>16</v>
      </c>
      <c r="I8" s="45" t="s">
        <v>16</v>
      </c>
      <c r="J8" s="45" t="s">
        <v>16</v>
      </c>
      <c r="K8" s="45" t="s">
        <v>16</v>
      </c>
      <c r="L8" s="45" t="s">
        <v>16</v>
      </c>
      <c r="M8" s="45" t="s">
        <v>16</v>
      </c>
      <c r="N8" s="45" t="s">
        <v>16</v>
      </c>
    </row>
    <row r="9" spans="1:14" s="5" customFormat="1" ht="13.5" customHeight="1">
      <c r="A9" s="39">
        <v>1994</v>
      </c>
      <c r="B9" s="45">
        <f t="shared" si="0"/>
        <v>63842</v>
      </c>
      <c r="C9" s="45">
        <v>61339</v>
      </c>
      <c r="D9" s="45">
        <v>2503</v>
      </c>
      <c r="E9" s="45" t="s">
        <v>16</v>
      </c>
      <c r="F9" s="45" t="s">
        <v>16</v>
      </c>
      <c r="G9" s="45" t="s">
        <v>16</v>
      </c>
      <c r="H9" s="45" t="s">
        <v>16</v>
      </c>
      <c r="I9" s="45" t="s">
        <v>16</v>
      </c>
      <c r="J9" s="45" t="s">
        <v>16</v>
      </c>
      <c r="K9" s="45" t="s">
        <v>16</v>
      </c>
      <c r="L9" s="45" t="s">
        <v>16</v>
      </c>
      <c r="M9" s="45" t="s">
        <v>16</v>
      </c>
      <c r="N9" s="45" t="s">
        <v>16</v>
      </c>
    </row>
    <row r="10" spans="1:14" s="5" customFormat="1" ht="18" customHeight="1">
      <c r="A10" s="39">
        <v>1995</v>
      </c>
      <c r="B10" s="45">
        <f t="shared" si="0"/>
        <v>69701</v>
      </c>
      <c r="C10" s="45">
        <f>15097+49757</f>
        <v>64854</v>
      </c>
      <c r="D10" s="45">
        <v>3035</v>
      </c>
      <c r="E10" s="45">
        <v>1812</v>
      </c>
      <c r="F10" s="45" t="s">
        <v>16</v>
      </c>
      <c r="G10" s="45" t="s">
        <v>16</v>
      </c>
      <c r="H10" s="45" t="s">
        <v>16</v>
      </c>
      <c r="I10" s="45" t="s">
        <v>16</v>
      </c>
      <c r="J10" s="45" t="s">
        <v>16</v>
      </c>
      <c r="K10" s="45" t="s">
        <v>16</v>
      </c>
      <c r="L10" s="45" t="s">
        <v>16</v>
      </c>
      <c r="M10" s="45" t="s">
        <v>16</v>
      </c>
      <c r="N10" s="45" t="s">
        <v>16</v>
      </c>
    </row>
    <row r="11" spans="1:14" s="5" customFormat="1" ht="13.5" customHeight="1">
      <c r="A11" s="39">
        <v>1996</v>
      </c>
      <c r="B11" s="45">
        <f t="shared" si="0"/>
        <v>64259</v>
      </c>
      <c r="C11" s="45">
        <f>45593+13923</f>
        <v>59516</v>
      </c>
      <c r="D11" s="45">
        <v>2752</v>
      </c>
      <c r="E11" s="45">
        <v>1991</v>
      </c>
      <c r="F11" s="45" t="s">
        <v>16</v>
      </c>
      <c r="G11" s="45" t="s">
        <v>16</v>
      </c>
      <c r="H11" s="45" t="s">
        <v>16</v>
      </c>
      <c r="I11" s="45" t="s">
        <v>16</v>
      </c>
      <c r="J11" s="45" t="s">
        <v>16</v>
      </c>
      <c r="K11" s="45" t="s">
        <v>16</v>
      </c>
      <c r="L11" s="45" t="s">
        <v>16</v>
      </c>
      <c r="M11" s="45" t="s">
        <v>16</v>
      </c>
      <c r="N11" s="45" t="s">
        <v>16</v>
      </c>
    </row>
    <row r="12" spans="1:14" s="5" customFormat="1" ht="13.5" customHeight="1">
      <c r="A12" s="39">
        <v>1997</v>
      </c>
      <c r="B12" s="45">
        <f t="shared" si="0"/>
        <v>62740</v>
      </c>
      <c r="C12" s="45">
        <v>58170</v>
      </c>
      <c r="D12" s="45">
        <v>2596</v>
      </c>
      <c r="E12" s="45">
        <v>1974</v>
      </c>
      <c r="F12" s="45" t="s">
        <v>16</v>
      </c>
      <c r="G12" s="45" t="s">
        <v>16</v>
      </c>
      <c r="H12" s="45" t="s">
        <v>16</v>
      </c>
      <c r="I12" s="45" t="s">
        <v>16</v>
      </c>
      <c r="J12" s="45" t="s">
        <v>16</v>
      </c>
      <c r="K12" s="45" t="s">
        <v>16</v>
      </c>
      <c r="L12" s="45" t="s">
        <v>16</v>
      </c>
      <c r="M12" s="45" t="s">
        <v>16</v>
      </c>
      <c r="N12" s="45" t="s">
        <v>16</v>
      </c>
    </row>
    <row r="13" spans="1:14" s="5" customFormat="1" ht="13.5" customHeight="1">
      <c r="A13" s="39">
        <v>1998</v>
      </c>
      <c r="B13" s="45">
        <f t="shared" si="0"/>
        <v>68191</v>
      </c>
      <c r="C13" s="45">
        <v>63826</v>
      </c>
      <c r="D13" s="45">
        <v>2380</v>
      </c>
      <c r="E13" s="45">
        <v>1985</v>
      </c>
      <c r="F13" s="45" t="s">
        <v>16</v>
      </c>
      <c r="G13" s="45" t="s">
        <v>16</v>
      </c>
      <c r="H13" s="45" t="s">
        <v>16</v>
      </c>
      <c r="I13" s="45" t="s">
        <v>16</v>
      </c>
      <c r="J13" s="45" t="s">
        <v>16</v>
      </c>
      <c r="K13" s="45" t="s">
        <v>16</v>
      </c>
      <c r="L13" s="45" t="s">
        <v>16</v>
      </c>
      <c r="M13" s="45" t="s">
        <v>16</v>
      </c>
      <c r="N13" s="45" t="s">
        <v>16</v>
      </c>
    </row>
    <row r="14" spans="1:14" s="5" customFormat="1" ht="13.5" customHeight="1">
      <c r="A14" s="39">
        <v>1999</v>
      </c>
      <c r="B14" s="45">
        <f t="shared" si="0"/>
        <v>72146</v>
      </c>
      <c r="C14" s="45">
        <v>66963</v>
      </c>
      <c r="D14" s="45">
        <v>3003</v>
      </c>
      <c r="E14" s="45">
        <v>2180</v>
      </c>
      <c r="F14" s="45" t="s">
        <v>16</v>
      </c>
      <c r="G14" s="45" t="s">
        <v>16</v>
      </c>
      <c r="H14" s="45" t="s">
        <v>16</v>
      </c>
      <c r="I14" s="45" t="s">
        <v>16</v>
      </c>
      <c r="J14" s="45" t="s">
        <v>16</v>
      </c>
      <c r="K14" s="45" t="s">
        <v>16</v>
      </c>
      <c r="L14" s="45" t="s">
        <v>16</v>
      </c>
      <c r="M14" s="45" t="s">
        <v>16</v>
      </c>
      <c r="N14" s="45" t="s">
        <v>16</v>
      </c>
    </row>
    <row r="15" spans="1:14" s="5" customFormat="1" ht="18" customHeight="1">
      <c r="A15" s="39">
        <v>2000</v>
      </c>
      <c r="B15" s="45">
        <f t="shared" si="0"/>
        <v>76585</v>
      </c>
      <c r="C15" s="45">
        <v>71492</v>
      </c>
      <c r="D15" s="45">
        <v>2308</v>
      </c>
      <c r="E15" s="45">
        <v>2280</v>
      </c>
      <c r="F15" s="45">
        <v>495</v>
      </c>
      <c r="G15" s="45">
        <v>10</v>
      </c>
      <c r="H15" s="45" t="s">
        <v>16</v>
      </c>
      <c r="I15" s="45" t="s">
        <v>16</v>
      </c>
      <c r="J15" s="45" t="s">
        <v>16</v>
      </c>
      <c r="K15" s="45" t="s">
        <v>16</v>
      </c>
      <c r="L15" s="45" t="s">
        <v>16</v>
      </c>
      <c r="M15" s="45" t="s">
        <v>16</v>
      </c>
      <c r="N15" s="45" t="s">
        <v>16</v>
      </c>
    </row>
    <row r="16" spans="1:14" s="5" customFormat="1" ht="13.5" customHeight="1">
      <c r="A16" s="39">
        <v>2001</v>
      </c>
      <c r="B16" s="45">
        <f t="shared" si="0"/>
        <v>76268</v>
      </c>
      <c r="C16" s="45">
        <v>70872</v>
      </c>
      <c r="D16" s="45">
        <v>1973</v>
      </c>
      <c r="E16" s="45">
        <v>2223</v>
      </c>
      <c r="F16" s="45">
        <v>981</v>
      </c>
      <c r="G16" s="45">
        <v>219</v>
      </c>
      <c r="H16" s="45" t="s">
        <v>16</v>
      </c>
      <c r="I16" s="45" t="s">
        <v>16</v>
      </c>
      <c r="J16" s="45" t="s">
        <v>16</v>
      </c>
      <c r="K16" s="45" t="s">
        <v>16</v>
      </c>
      <c r="L16" s="45" t="s">
        <v>16</v>
      </c>
      <c r="M16" s="45" t="s">
        <v>16</v>
      </c>
      <c r="N16" s="45" t="s">
        <v>16</v>
      </c>
    </row>
    <row r="17" spans="1:14" s="5" customFormat="1" ht="13.5" customHeight="1">
      <c r="A17" s="39">
        <v>2002</v>
      </c>
      <c r="B17" s="45">
        <f t="shared" si="0"/>
        <v>76166</v>
      </c>
      <c r="C17" s="45">
        <v>72582</v>
      </c>
      <c r="D17" s="46">
        <v>0</v>
      </c>
      <c r="E17" s="45">
        <v>2463</v>
      </c>
      <c r="F17" s="45">
        <v>927</v>
      </c>
      <c r="G17" s="45">
        <v>194</v>
      </c>
      <c r="H17" s="45" t="s">
        <v>16</v>
      </c>
      <c r="I17" s="45" t="s">
        <v>16</v>
      </c>
      <c r="J17" s="45" t="s">
        <v>16</v>
      </c>
      <c r="K17" s="45" t="s">
        <v>16</v>
      </c>
      <c r="L17" s="45" t="s">
        <v>16</v>
      </c>
      <c r="M17" s="45" t="s">
        <v>16</v>
      </c>
      <c r="N17" s="45" t="s">
        <v>16</v>
      </c>
    </row>
    <row r="18" spans="1:14" s="5" customFormat="1" ht="13.5" customHeight="1">
      <c r="A18" s="39">
        <v>2003</v>
      </c>
      <c r="B18" s="45">
        <f t="shared" si="0"/>
        <v>54779</v>
      </c>
      <c r="C18" s="45">
        <v>52242</v>
      </c>
      <c r="D18" s="46">
        <v>0</v>
      </c>
      <c r="E18" s="45">
        <v>2067</v>
      </c>
      <c r="F18" s="45">
        <v>334</v>
      </c>
      <c r="G18" s="45">
        <v>136</v>
      </c>
      <c r="H18" s="45" t="s">
        <v>16</v>
      </c>
      <c r="I18" s="45" t="s">
        <v>16</v>
      </c>
      <c r="J18" s="45" t="s">
        <v>16</v>
      </c>
      <c r="K18" s="45" t="s">
        <v>16</v>
      </c>
      <c r="L18" s="45" t="s">
        <v>16</v>
      </c>
      <c r="M18" s="45" t="s">
        <v>16</v>
      </c>
      <c r="N18" s="45" t="s">
        <v>16</v>
      </c>
    </row>
    <row r="19" spans="1:14" s="5" customFormat="1" ht="13.5" customHeight="1">
      <c r="A19" s="39">
        <v>2004</v>
      </c>
      <c r="B19" s="45">
        <f t="shared" si="0"/>
        <v>64387</v>
      </c>
      <c r="C19" s="45">
        <v>60562</v>
      </c>
      <c r="D19" s="45">
        <v>886</v>
      </c>
      <c r="E19" s="45">
        <v>2113</v>
      </c>
      <c r="F19" s="45">
        <v>625</v>
      </c>
      <c r="G19" s="45">
        <v>201</v>
      </c>
      <c r="H19" s="45" t="s">
        <v>16</v>
      </c>
      <c r="I19" s="45" t="s">
        <v>16</v>
      </c>
      <c r="J19" s="45" t="s">
        <v>16</v>
      </c>
      <c r="K19" s="45" t="s">
        <v>16</v>
      </c>
      <c r="L19" s="45" t="s">
        <v>16</v>
      </c>
      <c r="M19" s="45" t="s">
        <v>16</v>
      </c>
      <c r="N19" s="45" t="s">
        <v>16</v>
      </c>
    </row>
    <row r="20" spans="1:14" s="5" customFormat="1" ht="18" customHeight="1">
      <c r="A20" s="39">
        <v>2005</v>
      </c>
      <c r="B20" s="45">
        <f>SUM(C20:G20)</f>
        <v>62664</v>
      </c>
      <c r="C20" s="45">
        <v>57817</v>
      </c>
      <c r="D20" s="45">
        <v>1759</v>
      </c>
      <c r="E20" s="45">
        <v>2068</v>
      </c>
      <c r="F20" s="45">
        <v>841</v>
      </c>
      <c r="G20" s="45">
        <v>179</v>
      </c>
      <c r="H20" s="45" t="s">
        <v>16</v>
      </c>
      <c r="I20" s="45" t="s">
        <v>16</v>
      </c>
      <c r="J20" s="45" t="s">
        <v>16</v>
      </c>
      <c r="K20" s="45" t="s">
        <v>16</v>
      </c>
      <c r="L20" s="45" t="s">
        <v>16</v>
      </c>
      <c r="M20" s="45" t="s">
        <v>16</v>
      </c>
      <c r="N20" s="45" t="s">
        <v>16</v>
      </c>
    </row>
    <row r="21" spans="1:14" s="5" customFormat="1" ht="13.5" customHeight="1">
      <c r="A21" s="39">
        <v>2006</v>
      </c>
      <c r="B21" s="45">
        <f>SUM(C21:I21)</f>
        <v>62846</v>
      </c>
      <c r="C21" s="45">
        <v>58071</v>
      </c>
      <c r="D21" s="45">
        <v>1676</v>
      </c>
      <c r="E21" s="45">
        <v>2027</v>
      </c>
      <c r="F21" s="45">
        <v>815</v>
      </c>
      <c r="G21" s="45">
        <v>218</v>
      </c>
      <c r="H21" s="45">
        <v>5</v>
      </c>
      <c r="I21" s="45">
        <v>34</v>
      </c>
      <c r="J21" s="45" t="s">
        <v>16</v>
      </c>
      <c r="K21" s="45" t="s">
        <v>16</v>
      </c>
      <c r="L21" s="45" t="s">
        <v>16</v>
      </c>
      <c r="M21" s="45" t="s">
        <v>16</v>
      </c>
      <c r="N21" s="45" t="s">
        <v>16</v>
      </c>
    </row>
    <row r="22" spans="1:14" s="5" customFormat="1" ht="13.5" customHeight="1">
      <c r="A22" s="39">
        <v>2007</v>
      </c>
      <c r="B22" s="45">
        <f>SUM(C22:I22)</f>
        <v>68360</v>
      </c>
      <c r="C22" s="45">
        <v>63575</v>
      </c>
      <c r="D22" s="45">
        <v>1783</v>
      </c>
      <c r="E22" s="45">
        <v>2108</v>
      </c>
      <c r="F22" s="45">
        <v>595</v>
      </c>
      <c r="G22" s="45">
        <v>122</v>
      </c>
      <c r="H22" s="45">
        <v>80</v>
      </c>
      <c r="I22" s="45">
        <v>97</v>
      </c>
      <c r="J22" s="45" t="s">
        <v>16</v>
      </c>
      <c r="K22" s="45" t="s">
        <v>16</v>
      </c>
      <c r="L22" s="45" t="s">
        <v>16</v>
      </c>
      <c r="M22" s="45" t="s">
        <v>16</v>
      </c>
      <c r="N22" s="45" t="s">
        <v>16</v>
      </c>
    </row>
    <row r="23" spans="1:14" ht="13.5" customHeight="1">
      <c r="A23" s="39">
        <v>2008</v>
      </c>
      <c r="B23" s="45">
        <f>SUM(C23:I23)</f>
        <v>67222</v>
      </c>
      <c r="C23" s="45">
        <v>62314</v>
      </c>
      <c r="D23" s="45">
        <v>1797</v>
      </c>
      <c r="E23" s="45">
        <v>1968</v>
      </c>
      <c r="F23" s="45">
        <v>781</v>
      </c>
      <c r="G23" s="45">
        <v>199</v>
      </c>
      <c r="H23" s="45">
        <v>95</v>
      </c>
      <c r="I23" s="45">
        <v>68</v>
      </c>
      <c r="J23" s="47">
        <v>0.3</v>
      </c>
      <c r="K23" s="45" t="s">
        <v>16</v>
      </c>
      <c r="L23" s="45" t="s">
        <v>16</v>
      </c>
      <c r="M23" s="45" t="s">
        <v>16</v>
      </c>
      <c r="N23" s="45" t="s">
        <v>16</v>
      </c>
    </row>
    <row r="24" spans="1:14" ht="13.5" customHeight="1">
      <c r="A24" s="39">
        <v>2009</v>
      </c>
      <c r="B24" s="65">
        <f>SUM(C24:J24)</f>
        <v>66010</v>
      </c>
      <c r="C24" s="65">
        <v>61062</v>
      </c>
      <c r="D24" s="65">
        <v>1838</v>
      </c>
      <c r="E24" s="65">
        <v>2049</v>
      </c>
      <c r="F24" s="65">
        <v>618</v>
      </c>
      <c r="G24" s="65">
        <v>248</v>
      </c>
      <c r="H24" s="65">
        <v>67</v>
      </c>
      <c r="I24" s="65">
        <v>111</v>
      </c>
      <c r="J24" s="65">
        <v>17</v>
      </c>
      <c r="K24" s="45" t="s">
        <v>16</v>
      </c>
      <c r="L24" s="45" t="s">
        <v>16</v>
      </c>
      <c r="M24" s="45" t="s">
        <v>16</v>
      </c>
      <c r="N24" s="45" t="s">
        <v>16</v>
      </c>
    </row>
    <row r="25" spans="1:14" ht="13.5" customHeight="1">
      <c r="A25" s="39">
        <v>2010</v>
      </c>
      <c r="B25" s="105">
        <f>SUM(C25:L25)</f>
        <v>71881.2</v>
      </c>
      <c r="C25" s="65">
        <v>66587</v>
      </c>
      <c r="D25" s="65">
        <v>1852</v>
      </c>
      <c r="E25" s="65">
        <v>2144</v>
      </c>
      <c r="F25" s="65">
        <v>802</v>
      </c>
      <c r="G25" s="65">
        <v>219</v>
      </c>
      <c r="H25" s="65">
        <v>47</v>
      </c>
      <c r="I25" s="105">
        <v>142.4</v>
      </c>
      <c r="J25" s="105">
        <v>27.4</v>
      </c>
      <c r="K25" s="105">
        <v>17.8</v>
      </c>
      <c r="L25" s="105">
        <v>42.6</v>
      </c>
      <c r="M25" s="45" t="s">
        <v>16</v>
      </c>
      <c r="N25" s="45" t="s">
        <v>16</v>
      </c>
    </row>
    <row r="26" spans="1:14" ht="13.5" customHeight="1">
      <c r="A26" s="39">
        <v>2011</v>
      </c>
      <c r="B26" s="105">
        <f>SUM(C26:L26)</f>
        <v>62182</v>
      </c>
      <c r="C26" s="65">
        <v>57152</v>
      </c>
      <c r="D26" s="65">
        <v>1855</v>
      </c>
      <c r="E26" s="65">
        <v>2114</v>
      </c>
      <c r="F26" s="65">
        <v>540</v>
      </c>
      <c r="G26" s="65">
        <v>159</v>
      </c>
      <c r="H26" s="65">
        <v>86</v>
      </c>
      <c r="I26" s="105">
        <v>92</v>
      </c>
      <c r="J26" s="105">
        <v>11</v>
      </c>
      <c r="K26" s="105">
        <v>30</v>
      </c>
      <c r="L26" s="105">
        <v>143</v>
      </c>
      <c r="M26" s="45" t="s">
        <v>16</v>
      </c>
      <c r="N26" s="45" t="s">
        <v>16</v>
      </c>
    </row>
    <row r="27" spans="1:14" ht="13.5" customHeight="1">
      <c r="A27" s="39">
        <v>2012</v>
      </c>
      <c r="B27" s="105">
        <f>SUM(C27:M27)</f>
        <v>73501.7</v>
      </c>
      <c r="C27" s="65">
        <v>67831</v>
      </c>
      <c r="D27" s="65">
        <v>1776</v>
      </c>
      <c r="E27" s="65">
        <v>2309</v>
      </c>
      <c r="F27" s="65">
        <v>907</v>
      </c>
      <c r="G27" s="65">
        <v>242</v>
      </c>
      <c r="H27" s="65">
        <v>86</v>
      </c>
      <c r="I27" s="105">
        <v>86.5</v>
      </c>
      <c r="J27" s="105">
        <v>20.9</v>
      </c>
      <c r="K27" s="105">
        <v>33.3</v>
      </c>
      <c r="L27" s="105">
        <v>199</v>
      </c>
      <c r="M27" s="9">
        <v>11</v>
      </c>
      <c r="N27" s="45" t="s">
        <v>16</v>
      </c>
    </row>
    <row r="28" spans="1:14" ht="13.5" customHeight="1">
      <c r="A28" s="39">
        <v>2013</v>
      </c>
      <c r="B28" s="105">
        <f>SUM(C28:M28)</f>
        <v>69212.03439999999</v>
      </c>
      <c r="C28" s="105">
        <v>63586.134399999995</v>
      </c>
      <c r="D28" s="105">
        <v>1914.5</v>
      </c>
      <c r="E28" s="105">
        <v>2148.1</v>
      </c>
      <c r="F28" s="105">
        <v>874.5</v>
      </c>
      <c r="G28" s="105">
        <v>257.4</v>
      </c>
      <c r="H28" s="105">
        <v>82.9</v>
      </c>
      <c r="I28" s="105">
        <v>89.1</v>
      </c>
      <c r="J28" s="105">
        <v>16.2</v>
      </c>
      <c r="K28" s="105">
        <v>22.2</v>
      </c>
      <c r="L28" s="105">
        <v>208.5</v>
      </c>
      <c r="M28" s="122">
        <v>12.5</v>
      </c>
      <c r="N28" s="45" t="s">
        <v>16</v>
      </c>
    </row>
    <row r="29" spans="1:14" ht="13.5" customHeight="1">
      <c r="A29" s="39">
        <v>2014</v>
      </c>
      <c r="B29" s="105">
        <f>SUM(C29:M29)</f>
        <v>22255.2</v>
      </c>
      <c r="C29" s="105">
        <v>16803.9</v>
      </c>
      <c r="D29" s="105">
        <v>1904</v>
      </c>
      <c r="E29" s="105">
        <v>2265.1</v>
      </c>
      <c r="F29" s="105">
        <v>741.9</v>
      </c>
      <c r="G29" s="105">
        <v>159</v>
      </c>
      <c r="H29" s="105">
        <v>81.9</v>
      </c>
      <c r="I29" s="105">
        <v>89.5</v>
      </c>
      <c r="J29" s="105">
        <v>14</v>
      </c>
      <c r="K29" s="105">
        <v>30.8</v>
      </c>
      <c r="L29" s="105">
        <v>153.6</v>
      </c>
      <c r="M29" s="122">
        <v>11.5</v>
      </c>
      <c r="N29" s="45" t="s">
        <v>16</v>
      </c>
    </row>
    <row r="30" spans="1:14" ht="13.5" customHeight="1">
      <c r="A30" s="39">
        <v>2015</v>
      </c>
      <c r="B30" s="105">
        <f>SUM(C30:N30)</f>
        <v>48838.20000000001</v>
      </c>
      <c r="C30" s="105">
        <f>30604+12984.9</f>
        <v>43588.9</v>
      </c>
      <c r="D30" s="105">
        <v>1861.8</v>
      </c>
      <c r="E30" s="105">
        <v>2154.4</v>
      </c>
      <c r="F30" s="105">
        <v>738.9</v>
      </c>
      <c r="G30" s="105">
        <v>119.3</v>
      </c>
      <c r="H30" s="105">
        <v>86.7</v>
      </c>
      <c r="I30" s="105">
        <v>59.1</v>
      </c>
      <c r="J30" s="105">
        <v>22</v>
      </c>
      <c r="K30" s="105">
        <v>23</v>
      </c>
      <c r="L30" s="105">
        <v>167.8</v>
      </c>
      <c r="M30" s="122">
        <v>15</v>
      </c>
      <c r="N30" s="47">
        <v>1.3</v>
      </c>
    </row>
    <row r="31" spans="1:14" ht="13.5" customHeight="1">
      <c r="A31" s="39">
        <v>2016</v>
      </c>
      <c r="B31" s="105">
        <f>SUM(C31:N31)</f>
        <v>67793.12</v>
      </c>
      <c r="C31" s="105">
        <f>50088+12194</f>
        <v>62282</v>
      </c>
      <c r="D31" s="105">
        <v>1902</v>
      </c>
      <c r="E31" s="105">
        <v>2173.2</v>
      </c>
      <c r="F31" s="105">
        <v>914</v>
      </c>
      <c r="G31" s="105">
        <v>100.12</v>
      </c>
      <c r="H31" s="105">
        <v>84.3</v>
      </c>
      <c r="I31" s="105">
        <v>70</v>
      </c>
      <c r="J31" s="105">
        <v>3</v>
      </c>
      <c r="K31" s="105">
        <v>25.2</v>
      </c>
      <c r="L31" s="105">
        <v>198</v>
      </c>
      <c r="M31" s="151">
        <v>14.3</v>
      </c>
      <c r="N31" s="151">
        <v>27</v>
      </c>
    </row>
    <row r="32" spans="1:14" ht="13.5" customHeight="1">
      <c r="A32" s="39">
        <v>2017</v>
      </c>
      <c r="B32" s="105">
        <f>SUM(C32:N32)</f>
        <v>68515.99999999999</v>
      </c>
      <c r="C32" s="105">
        <f>49551.9+13860.6</f>
        <v>63412.5</v>
      </c>
      <c r="D32" s="105">
        <v>1942.1</v>
      </c>
      <c r="E32" s="105">
        <v>2042.4</v>
      </c>
      <c r="F32" s="105">
        <v>768.7</v>
      </c>
      <c r="G32" s="181">
        <v>0</v>
      </c>
      <c r="H32" s="105">
        <v>98.2</v>
      </c>
      <c r="I32" s="105">
        <v>49.3</v>
      </c>
      <c r="J32" s="181">
        <v>0</v>
      </c>
      <c r="K32" s="105">
        <v>25.4</v>
      </c>
      <c r="L32" s="105">
        <v>144.9</v>
      </c>
      <c r="M32" s="151">
        <v>14.4</v>
      </c>
      <c r="N32" s="151">
        <v>18.1</v>
      </c>
    </row>
    <row r="33" spans="1:14" ht="13.5" customHeight="1">
      <c r="A33" s="39">
        <v>2018</v>
      </c>
      <c r="B33" s="105">
        <f>SUM(C33:N33)</f>
        <v>61867.99999999999</v>
      </c>
      <c r="C33" s="105">
        <f>45548.6+11400</f>
        <v>56948.6</v>
      </c>
      <c r="D33" s="105">
        <v>1917</v>
      </c>
      <c r="E33" s="105">
        <v>2087.5</v>
      </c>
      <c r="F33" s="105">
        <v>594</v>
      </c>
      <c r="G33" s="181">
        <v>0</v>
      </c>
      <c r="H33" s="105">
        <v>96.2</v>
      </c>
      <c r="I33" s="105">
        <v>49.5</v>
      </c>
      <c r="J33" s="181">
        <v>0.2</v>
      </c>
      <c r="K33" s="105">
        <v>24.3</v>
      </c>
      <c r="L33" s="105">
        <v>120.5</v>
      </c>
      <c r="M33" s="151">
        <v>16.1</v>
      </c>
      <c r="N33" s="151">
        <v>14.1</v>
      </c>
    </row>
    <row r="34" spans="1:14" ht="13.5" customHeight="1">
      <c r="A34" s="39">
        <v>2019</v>
      </c>
      <c r="B34" s="105">
        <f>SUM(C34:N34)</f>
        <v>74497.29999999997</v>
      </c>
      <c r="C34" s="105">
        <f>55290.4+13951.1</f>
        <v>69241.5</v>
      </c>
      <c r="D34" s="105">
        <v>1896.2</v>
      </c>
      <c r="E34" s="105">
        <v>2083.9</v>
      </c>
      <c r="F34" s="105">
        <v>834</v>
      </c>
      <c r="G34" s="181">
        <v>73.8</v>
      </c>
      <c r="H34" s="105">
        <v>95.7</v>
      </c>
      <c r="I34" s="105">
        <v>54.7</v>
      </c>
      <c r="J34" s="181">
        <v>0</v>
      </c>
      <c r="K34" s="105">
        <v>24.7</v>
      </c>
      <c r="L34" s="105">
        <v>151</v>
      </c>
      <c r="M34" s="151">
        <v>15.9</v>
      </c>
      <c r="N34" s="151">
        <v>25.9</v>
      </c>
    </row>
    <row r="35" spans="1:12" ht="11.25">
      <c r="A35" s="41"/>
      <c r="B35" s="42"/>
      <c r="C35" s="42"/>
      <c r="D35" s="42"/>
      <c r="E35" s="42"/>
      <c r="F35" s="42"/>
      <c r="G35" s="42"/>
      <c r="H35" s="42"/>
      <c r="I35" s="42"/>
      <c r="J35" s="42"/>
      <c r="K35" s="42"/>
      <c r="L35" s="42"/>
    </row>
    <row r="36" spans="1:14" ht="11.25">
      <c r="A36" s="210" t="s">
        <v>12</v>
      </c>
      <c r="B36" s="210"/>
      <c r="C36" s="210"/>
      <c r="D36" s="210"/>
      <c r="E36" s="210"/>
      <c r="F36" s="210"/>
      <c r="G36" s="210"/>
      <c r="H36" s="210"/>
      <c r="I36" s="210"/>
      <c r="J36" s="210"/>
      <c r="K36" s="210"/>
      <c r="L36" s="210"/>
      <c r="M36" s="210"/>
      <c r="N36" s="210"/>
    </row>
    <row r="37" spans="1:14" ht="11.25">
      <c r="A37" s="221" t="s">
        <v>210</v>
      </c>
      <c r="B37" s="222"/>
      <c r="C37" s="222"/>
      <c r="D37" s="222"/>
      <c r="E37" s="222"/>
      <c r="F37" s="222"/>
      <c r="G37" s="222"/>
      <c r="H37" s="222"/>
      <c r="I37" s="222"/>
      <c r="J37" s="222"/>
      <c r="K37" s="222"/>
      <c r="L37" s="222"/>
      <c r="M37" s="222"/>
      <c r="N37" s="222"/>
    </row>
    <row r="38" spans="1:14" ht="11.25">
      <c r="A38" s="223" t="s">
        <v>142</v>
      </c>
      <c r="B38" s="223"/>
      <c r="C38" s="223"/>
      <c r="D38" s="223"/>
      <c r="E38" s="223"/>
      <c r="F38" s="223"/>
      <c r="G38" s="223"/>
      <c r="H38" s="223"/>
      <c r="I38" s="223"/>
      <c r="J38" s="223"/>
      <c r="K38" s="223"/>
      <c r="L38" s="223"/>
      <c r="M38" s="223"/>
      <c r="N38" s="223"/>
    </row>
    <row r="39" spans="1:14" ht="11.25">
      <c r="A39" s="218" t="s">
        <v>179</v>
      </c>
      <c r="B39" s="218"/>
      <c r="C39" s="218"/>
      <c r="D39" s="218"/>
      <c r="E39" s="218"/>
      <c r="F39" s="218"/>
      <c r="G39" s="218"/>
      <c r="H39" s="218"/>
      <c r="I39" s="218"/>
      <c r="J39" s="218"/>
      <c r="K39" s="218"/>
      <c r="L39" s="218"/>
      <c r="M39" s="218"/>
      <c r="N39" s="218"/>
    </row>
    <row r="40" spans="1:14" ht="11.25">
      <c r="A40" s="218" t="s">
        <v>172</v>
      </c>
      <c r="B40" s="218"/>
      <c r="C40" s="218"/>
      <c r="D40" s="218"/>
      <c r="E40" s="218"/>
      <c r="F40" s="218"/>
      <c r="G40" s="218"/>
      <c r="H40" s="218"/>
      <c r="I40" s="218"/>
      <c r="J40" s="218"/>
      <c r="K40" s="218"/>
      <c r="L40" s="218"/>
      <c r="M40" s="218"/>
      <c r="N40" s="218"/>
    </row>
    <row r="41" spans="1:14" ht="11.25">
      <c r="A41" s="218" t="s">
        <v>199</v>
      </c>
      <c r="B41" s="218"/>
      <c r="C41" s="218"/>
      <c r="D41" s="218"/>
      <c r="E41" s="218"/>
      <c r="F41" s="218"/>
      <c r="G41" s="218"/>
      <c r="H41" s="218"/>
      <c r="I41" s="218"/>
      <c r="J41" s="218"/>
      <c r="K41" s="218"/>
      <c r="L41" s="218"/>
      <c r="M41" s="218"/>
      <c r="N41" s="218"/>
    </row>
  </sheetData>
  <sheetProtection/>
  <mergeCells count="9">
    <mergeCell ref="A39:N39"/>
    <mergeCell ref="A41:N41"/>
    <mergeCell ref="A40:N40"/>
    <mergeCell ref="A3:A4"/>
    <mergeCell ref="C3:L3"/>
    <mergeCell ref="A1:N1"/>
    <mergeCell ref="A36:N36"/>
    <mergeCell ref="A37:N37"/>
    <mergeCell ref="A38:N38"/>
  </mergeCells>
  <printOptions/>
  <pageMargins left="0.7874015748031497" right="0.7874015748031497" top="0.984251968503937" bottom="0.984251968503937" header="0.5118110236220472" footer="0.5118110236220472"/>
  <pageSetup horizontalDpi="300" verticalDpi="300" orientation="portrait" paperSize="9" scale="65" r:id="rId2"/>
  <headerFooter alignWithMargins="0">
    <oddFooter>&amp;CSeite &amp;P</oddFooter>
  </headerFooter>
  <drawing r:id="rId1"/>
</worksheet>
</file>

<file path=xl/worksheets/sheet11.xml><?xml version="1.0" encoding="utf-8"?>
<worksheet xmlns="http://schemas.openxmlformats.org/spreadsheetml/2006/main" xmlns:r="http://schemas.openxmlformats.org/officeDocument/2006/relationships">
  <sheetPr>
    <tabColor rgb="FF92D050"/>
  </sheetPr>
  <dimension ref="A1:N45"/>
  <sheetViews>
    <sheetView showGridLines="0" zoomScale="115" zoomScaleNormal="115" zoomScalePageLayoutView="0" workbookViewId="0" topLeftCell="A1">
      <selection activeCell="P8" sqref="P8"/>
    </sheetView>
  </sheetViews>
  <sheetFormatPr defaultColWidth="10.28125" defaultRowHeight="12.75"/>
  <cols>
    <col min="1" max="1" width="5.7109375" style="9" customWidth="1"/>
    <col min="2" max="2" width="11.7109375" style="9" customWidth="1"/>
    <col min="3" max="3" width="6.140625" style="9" customWidth="1"/>
    <col min="4" max="10" width="7.57421875" style="9" customWidth="1"/>
    <col min="11" max="11" width="8.421875" style="9" bestFit="1" customWidth="1"/>
    <col min="12" max="14" width="7.57421875" style="9" customWidth="1"/>
    <col min="15" max="16384" width="10.28125" style="9" customWidth="1"/>
  </cols>
  <sheetData>
    <row r="1" spans="1:14" ht="12.75">
      <c r="A1" s="202" t="s">
        <v>187</v>
      </c>
      <c r="B1" s="202"/>
      <c r="C1" s="202"/>
      <c r="D1" s="202"/>
      <c r="E1" s="202"/>
      <c r="F1" s="202"/>
      <c r="G1" s="202"/>
      <c r="H1" s="202"/>
      <c r="I1" s="202"/>
      <c r="J1" s="202"/>
      <c r="K1" s="202"/>
      <c r="L1" s="202"/>
      <c r="M1" s="202"/>
      <c r="N1" s="202"/>
    </row>
    <row r="2" ht="11.25">
      <c r="N2" s="99" t="s">
        <v>94</v>
      </c>
    </row>
    <row r="3" spans="1:14" s="38" customFormat="1" ht="20.25" customHeight="1">
      <c r="A3" s="225" t="s">
        <v>0</v>
      </c>
      <c r="B3" s="49" t="s">
        <v>7</v>
      </c>
      <c r="C3" s="224" t="s">
        <v>188</v>
      </c>
      <c r="D3" s="224"/>
      <c r="E3" s="224"/>
      <c r="F3" s="224"/>
      <c r="G3" s="224"/>
      <c r="H3" s="224"/>
      <c r="I3" s="224"/>
      <c r="J3" s="224"/>
      <c r="K3" s="224"/>
      <c r="L3" s="224"/>
      <c r="M3" s="224"/>
      <c r="N3" s="224"/>
    </row>
    <row r="4" spans="1:14" s="38" customFormat="1" ht="13.5" customHeight="1">
      <c r="A4" s="225"/>
      <c r="B4" s="49"/>
      <c r="C4" s="57" t="s">
        <v>24</v>
      </c>
      <c r="D4" s="57" t="s">
        <v>25</v>
      </c>
      <c r="E4" s="57" t="s">
        <v>26</v>
      </c>
      <c r="F4" s="57" t="s">
        <v>27</v>
      </c>
      <c r="G4" s="57" t="s">
        <v>28</v>
      </c>
      <c r="H4" s="57" t="s">
        <v>29</v>
      </c>
      <c r="I4" s="57" t="s">
        <v>30</v>
      </c>
      <c r="J4" s="57" t="s">
        <v>31</v>
      </c>
      <c r="K4" s="57" t="s">
        <v>34</v>
      </c>
      <c r="L4" s="57" t="s">
        <v>35</v>
      </c>
      <c r="M4" s="57" t="s">
        <v>36</v>
      </c>
      <c r="N4" s="57" t="s">
        <v>37</v>
      </c>
    </row>
    <row r="5" spans="1:14" s="5" customFormat="1" ht="18" customHeight="1">
      <c r="A5" s="4">
        <v>1985</v>
      </c>
      <c r="B5" s="51">
        <v>47125</v>
      </c>
      <c r="C5" s="12">
        <v>1830</v>
      </c>
      <c r="D5" s="12">
        <v>1929</v>
      </c>
      <c r="E5" s="12">
        <v>1562</v>
      </c>
      <c r="F5" s="12">
        <v>3768</v>
      </c>
      <c r="G5" s="12">
        <v>6858</v>
      </c>
      <c r="H5" s="12">
        <v>7789</v>
      </c>
      <c r="I5" s="12">
        <v>5858</v>
      </c>
      <c r="J5" s="12">
        <v>6486</v>
      </c>
      <c r="K5" s="12">
        <v>4789</v>
      </c>
      <c r="L5" s="12">
        <v>2419</v>
      </c>
      <c r="M5" s="12">
        <v>1956</v>
      </c>
      <c r="N5" s="12">
        <v>1881</v>
      </c>
    </row>
    <row r="6" spans="1:14" s="5" customFormat="1" ht="12.75" customHeight="1">
      <c r="A6" s="4">
        <v>1986</v>
      </c>
      <c r="B6" s="51">
        <v>43371</v>
      </c>
      <c r="C6" s="12">
        <v>1600</v>
      </c>
      <c r="D6" s="12">
        <v>1292</v>
      </c>
      <c r="E6" s="12">
        <v>1824</v>
      </c>
      <c r="F6" s="12">
        <v>4405</v>
      </c>
      <c r="G6" s="12">
        <v>7683</v>
      </c>
      <c r="H6" s="12">
        <v>6964</v>
      </c>
      <c r="I6" s="12">
        <v>6138</v>
      </c>
      <c r="J6" s="12">
        <v>4082</v>
      </c>
      <c r="K6" s="12">
        <v>3405</v>
      </c>
      <c r="L6" s="12">
        <v>2277</v>
      </c>
      <c r="M6" s="12">
        <v>1909</v>
      </c>
      <c r="N6" s="12">
        <v>1792</v>
      </c>
    </row>
    <row r="7" spans="1:14" s="5" customFormat="1" ht="12.75" customHeight="1">
      <c r="A7" s="4">
        <v>1987</v>
      </c>
      <c r="B7" s="51">
        <v>47622</v>
      </c>
      <c r="C7" s="12">
        <v>1542</v>
      </c>
      <c r="D7" s="12">
        <v>1246</v>
      </c>
      <c r="E7" s="12">
        <v>1745</v>
      </c>
      <c r="F7" s="12">
        <v>4443</v>
      </c>
      <c r="G7" s="12">
        <v>6347</v>
      </c>
      <c r="H7" s="12">
        <v>6934</v>
      </c>
      <c r="I7" s="12">
        <v>7343</v>
      </c>
      <c r="J7" s="12">
        <v>6168</v>
      </c>
      <c r="K7" s="12">
        <v>3989</v>
      </c>
      <c r="L7" s="12">
        <v>2625</v>
      </c>
      <c r="M7" s="12">
        <v>2121</v>
      </c>
      <c r="N7" s="12">
        <v>3119</v>
      </c>
    </row>
    <row r="8" spans="1:14" s="5" customFormat="1" ht="12.75" customHeight="1">
      <c r="A8" s="4">
        <v>1988</v>
      </c>
      <c r="B8" s="51">
        <v>60082</v>
      </c>
      <c r="C8" s="12">
        <v>2283</v>
      </c>
      <c r="D8" s="12">
        <v>1679</v>
      </c>
      <c r="E8" s="12">
        <v>1982</v>
      </c>
      <c r="F8" s="12">
        <v>6015</v>
      </c>
      <c r="G8" s="12">
        <v>9531</v>
      </c>
      <c r="H8" s="12">
        <v>9305</v>
      </c>
      <c r="I8" s="12">
        <v>7987</v>
      </c>
      <c r="J8" s="12">
        <v>6014</v>
      </c>
      <c r="K8" s="12">
        <v>5341</v>
      </c>
      <c r="L8" s="12">
        <v>4046</v>
      </c>
      <c r="M8" s="12">
        <v>2670</v>
      </c>
      <c r="N8" s="12">
        <v>3229</v>
      </c>
    </row>
    <row r="9" spans="1:14" s="5" customFormat="1" ht="12.75" customHeight="1">
      <c r="A9" s="4">
        <v>1989</v>
      </c>
      <c r="B9" s="51">
        <v>63992</v>
      </c>
      <c r="C9" s="12">
        <v>2215</v>
      </c>
      <c r="D9" s="12">
        <v>1959</v>
      </c>
      <c r="E9" s="12">
        <v>3586</v>
      </c>
      <c r="F9" s="12">
        <v>5905</v>
      </c>
      <c r="G9" s="12">
        <v>8916</v>
      </c>
      <c r="H9" s="12">
        <v>8549</v>
      </c>
      <c r="I9" s="12">
        <v>7597</v>
      </c>
      <c r="J9" s="12">
        <v>7406</v>
      </c>
      <c r="K9" s="12">
        <v>6553</v>
      </c>
      <c r="L9" s="12">
        <v>4919</v>
      </c>
      <c r="M9" s="12">
        <v>3694</v>
      </c>
      <c r="N9" s="12">
        <v>2693</v>
      </c>
    </row>
    <row r="10" spans="1:14" s="5" customFormat="1" ht="18" customHeight="1">
      <c r="A10" s="4">
        <v>1990</v>
      </c>
      <c r="B10" s="51">
        <v>54674</v>
      </c>
      <c r="C10" s="12">
        <v>2101</v>
      </c>
      <c r="D10" s="12">
        <v>2614</v>
      </c>
      <c r="E10" s="12">
        <v>3701</v>
      </c>
      <c r="F10" s="12">
        <v>3426</v>
      </c>
      <c r="G10" s="12">
        <v>9378</v>
      </c>
      <c r="H10" s="12">
        <v>8499</v>
      </c>
      <c r="I10" s="12">
        <v>7246</v>
      </c>
      <c r="J10" s="12">
        <v>3656</v>
      </c>
      <c r="K10" s="12">
        <v>4786</v>
      </c>
      <c r="L10" s="12">
        <v>3626</v>
      </c>
      <c r="M10" s="12">
        <v>3517</v>
      </c>
      <c r="N10" s="12">
        <v>2124</v>
      </c>
    </row>
    <row r="11" spans="1:14" s="5" customFormat="1" ht="12.75" customHeight="1">
      <c r="A11" s="4">
        <v>1991</v>
      </c>
      <c r="B11" s="51">
        <v>53777</v>
      </c>
      <c r="C11" s="12">
        <v>2369</v>
      </c>
      <c r="D11" s="12">
        <v>1425</v>
      </c>
      <c r="E11" s="12">
        <v>3653</v>
      </c>
      <c r="F11" s="12">
        <v>3846</v>
      </c>
      <c r="G11" s="12">
        <v>6715</v>
      </c>
      <c r="H11" s="12">
        <v>9342</v>
      </c>
      <c r="I11" s="12">
        <v>9482</v>
      </c>
      <c r="J11" s="12">
        <v>5154</v>
      </c>
      <c r="K11" s="12">
        <v>2962</v>
      </c>
      <c r="L11" s="12">
        <v>4311</v>
      </c>
      <c r="M11" s="12">
        <v>2287</v>
      </c>
      <c r="N11" s="12">
        <v>2231</v>
      </c>
    </row>
    <row r="12" spans="1:14" s="5" customFormat="1" ht="12.75" customHeight="1">
      <c r="A12" s="4">
        <v>1992</v>
      </c>
      <c r="B12" s="51">
        <v>59655</v>
      </c>
      <c r="C12" s="12">
        <v>1757</v>
      </c>
      <c r="D12" s="12">
        <v>1347</v>
      </c>
      <c r="E12" s="12">
        <v>2347</v>
      </c>
      <c r="F12" s="12">
        <v>4674</v>
      </c>
      <c r="G12" s="12">
        <v>9965</v>
      </c>
      <c r="H12" s="12">
        <v>8706</v>
      </c>
      <c r="I12" s="12">
        <v>7407</v>
      </c>
      <c r="J12" s="12">
        <v>4249</v>
      </c>
      <c r="K12" s="12">
        <v>5376</v>
      </c>
      <c r="L12" s="12">
        <v>3482</v>
      </c>
      <c r="M12" s="12">
        <v>5950</v>
      </c>
      <c r="N12" s="12">
        <v>4368</v>
      </c>
    </row>
    <row r="13" spans="1:14" s="5" customFormat="1" ht="12.75" customHeight="1">
      <c r="A13" s="4">
        <v>1993</v>
      </c>
      <c r="B13" s="51">
        <v>64880</v>
      </c>
      <c r="C13" s="12">
        <v>2570</v>
      </c>
      <c r="D13" s="12">
        <v>1754</v>
      </c>
      <c r="E13" s="12">
        <v>2420</v>
      </c>
      <c r="F13" s="12">
        <v>5123</v>
      </c>
      <c r="G13" s="12">
        <v>9298</v>
      </c>
      <c r="H13" s="12">
        <v>7990</v>
      </c>
      <c r="I13" s="12">
        <v>8187</v>
      </c>
      <c r="J13" s="12">
        <v>6492</v>
      </c>
      <c r="K13" s="12">
        <v>6638</v>
      </c>
      <c r="L13" s="12">
        <v>7050</v>
      </c>
      <c r="M13" s="12">
        <v>4100</v>
      </c>
      <c r="N13" s="12">
        <v>3258</v>
      </c>
    </row>
    <row r="14" spans="1:14" s="5" customFormat="1" ht="12.75" customHeight="1">
      <c r="A14" s="4">
        <v>1994</v>
      </c>
      <c r="B14" s="51">
        <f aca="true" t="shared" si="0" ref="B14:B29">SUM(C14:N14)</f>
        <v>61339</v>
      </c>
      <c r="C14" s="12">
        <v>2630</v>
      </c>
      <c r="D14" s="12">
        <v>1807</v>
      </c>
      <c r="E14" s="12">
        <v>4398</v>
      </c>
      <c r="F14" s="12">
        <v>5060</v>
      </c>
      <c r="G14" s="12">
        <v>10006</v>
      </c>
      <c r="H14" s="12">
        <v>9332</v>
      </c>
      <c r="I14" s="12">
        <v>6879</v>
      </c>
      <c r="J14" s="12">
        <v>3715</v>
      </c>
      <c r="K14" s="12">
        <v>7243</v>
      </c>
      <c r="L14" s="12">
        <v>3534</v>
      </c>
      <c r="M14" s="12">
        <v>3652</v>
      </c>
      <c r="N14" s="12">
        <v>3083</v>
      </c>
    </row>
    <row r="15" spans="1:14" s="5" customFormat="1" ht="18" customHeight="1">
      <c r="A15" s="4">
        <v>1995</v>
      </c>
      <c r="B15" s="51">
        <f t="shared" si="0"/>
        <v>64854</v>
      </c>
      <c r="C15" s="12">
        <f>397+1939</f>
        <v>2336</v>
      </c>
      <c r="D15" s="12">
        <f>301+1777</f>
        <v>2078</v>
      </c>
      <c r="E15" s="12">
        <f>365+1961</f>
        <v>2326</v>
      </c>
      <c r="F15" s="12">
        <f>1355+4682</f>
        <v>6037</v>
      </c>
      <c r="G15" s="12">
        <f>2553+7362</f>
        <v>9915</v>
      </c>
      <c r="H15" s="12">
        <f>2726+7141</f>
        <v>9867</v>
      </c>
      <c r="I15" s="12">
        <f>2259+6172</f>
        <v>8431</v>
      </c>
      <c r="J15" s="12">
        <f>1365+4858</f>
        <v>6223</v>
      </c>
      <c r="K15" s="12">
        <f>2066+6265</f>
        <v>8331</v>
      </c>
      <c r="L15" s="12">
        <f>849+3264</f>
        <v>4113</v>
      </c>
      <c r="M15" s="12">
        <f>430+2254</f>
        <v>2684</v>
      </c>
      <c r="N15" s="12">
        <f>431+2082</f>
        <v>2513</v>
      </c>
    </row>
    <row r="16" spans="1:14" s="48" customFormat="1" ht="12.75" customHeight="1">
      <c r="A16" s="4">
        <v>1996</v>
      </c>
      <c r="B16" s="51">
        <f t="shared" si="0"/>
        <v>59516</v>
      </c>
      <c r="C16" s="12">
        <f>264+2093</f>
        <v>2357</v>
      </c>
      <c r="D16" s="12">
        <f>169+1337</f>
        <v>1506</v>
      </c>
      <c r="E16" s="12">
        <f>279+1654</f>
        <v>1933</v>
      </c>
      <c r="F16" s="12">
        <f>901+3532</f>
        <v>4433</v>
      </c>
      <c r="G16" s="12">
        <f>2279+6454</f>
        <v>8733</v>
      </c>
      <c r="H16" s="12">
        <f>1887+5084</f>
        <v>6971</v>
      </c>
      <c r="I16" s="12">
        <f>1936+5471</f>
        <v>7407</v>
      </c>
      <c r="J16" s="12">
        <f>1625+4484</f>
        <v>6109</v>
      </c>
      <c r="K16" s="12">
        <f>1527+4376</f>
        <v>5903</v>
      </c>
      <c r="L16" s="12">
        <f>1584+4959</f>
        <v>6543</v>
      </c>
      <c r="M16" s="12">
        <f>966+3577</f>
        <v>4543</v>
      </c>
      <c r="N16" s="12">
        <f>506+2572</f>
        <v>3078</v>
      </c>
    </row>
    <row r="17" spans="1:14" s="48" customFormat="1" ht="12.75" customHeight="1">
      <c r="A17" s="4">
        <v>1997</v>
      </c>
      <c r="B17" s="51">
        <f t="shared" si="0"/>
        <v>58170</v>
      </c>
      <c r="C17" s="12">
        <v>2308</v>
      </c>
      <c r="D17" s="12">
        <v>1769</v>
      </c>
      <c r="E17" s="12">
        <v>2856</v>
      </c>
      <c r="F17" s="12">
        <v>4316</v>
      </c>
      <c r="G17" s="12">
        <v>9756</v>
      </c>
      <c r="H17" s="12">
        <v>9429</v>
      </c>
      <c r="I17" s="12">
        <v>9678</v>
      </c>
      <c r="J17" s="12">
        <v>5288</v>
      </c>
      <c r="K17" s="12">
        <v>4126</v>
      </c>
      <c r="L17" s="12">
        <v>3296</v>
      </c>
      <c r="M17" s="12">
        <v>2374</v>
      </c>
      <c r="N17" s="12">
        <v>2974</v>
      </c>
    </row>
    <row r="18" spans="1:14" s="48" customFormat="1" ht="12.75" customHeight="1">
      <c r="A18" s="4">
        <v>1998</v>
      </c>
      <c r="B18" s="51">
        <f t="shared" si="0"/>
        <v>63826</v>
      </c>
      <c r="C18" s="12">
        <f>1890+304</f>
        <v>2194</v>
      </c>
      <c r="D18" s="12">
        <f>1491+251</f>
        <v>1742</v>
      </c>
      <c r="E18" s="12">
        <f>2151+439</f>
        <v>2590</v>
      </c>
      <c r="F18" s="12">
        <f>4656+1317</f>
        <v>5973</v>
      </c>
      <c r="G18" s="12">
        <f>6452+2196</f>
        <v>8648</v>
      </c>
      <c r="H18" s="12">
        <f>6390+2302</f>
        <v>8692</v>
      </c>
      <c r="I18" s="12">
        <f>4941+1649</f>
        <v>6590</v>
      </c>
      <c r="J18" s="12">
        <f>3528+1031</f>
        <v>4559</v>
      </c>
      <c r="K18" s="12">
        <f>5819+1719</f>
        <v>7538</v>
      </c>
      <c r="L18" s="12">
        <f>4882+1496</f>
        <v>6378</v>
      </c>
      <c r="M18" s="12">
        <f>4690+1224</f>
        <v>5914</v>
      </c>
      <c r="N18" s="12">
        <f>2580+428</f>
        <v>3008</v>
      </c>
    </row>
    <row r="19" spans="1:14" s="48" customFormat="1" ht="12.75" customHeight="1">
      <c r="A19" s="4">
        <v>1999</v>
      </c>
      <c r="B19" s="51">
        <f t="shared" si="0"/>
        <v>66963</v>
      </c>
      <c r="C19" s="12">
        <v>2118</v>
      </c>
      <c r="D19" s="12">
        <v>1829</v>
      </c>
      <c r="E19" s="12">
        <v>3132</v>
      </c>
      <c r="F19" s="12">
        <v>5830</v>
      </c>
      <c r="G19" s="12">
        <v>10443</v>
      </c>
      <c r="H19" s="12">
        <v>10227</v>
      </c>
      <c r="I19" s="12">
        <v>8851</v>
      </c>
      <c r="J19" s="12">
        <v>7242</v>
      </c>
      <c r="K19" s="12">
        <v>5452</v>
      </c>
      <c r="L19" s="12">
        <v>5781</v>
      </c>
      <c r="M19" s="12">
        <v>3170</v>
      </c>
      <c r="N19" s="12">
        <v>2888</v>
      </c>
    </row>
    <row r="20" spans="1:14" s="48" customFormat="1" ht="18" customHeight="1">
      <c r="A20" s="4">
        <v>2000</v>
      </c>
      <c r="B20" s="51">
        <f t="shared" si="0"/>
        <v>71492</v>
      </c>
      <c r="C20" s="12">
        <v>2171</v>
      </c>
      <c r="D20" s="12">
        <v>2389</v>
      </c>
      <c r="E20" s="12">
        <v>3668</v>
      </c>
      <c r="F20" s="12">
        <v>5955</v>
      </c>
      <c r="G20" s="12">
        <v>10475</v>
      </c>
      <c r="H20" s="12">
        <v>9100</v>
      </c>
      <c r="I20" s="12">
        <v>9172</v>
      </c>
      <c r="J20" s="12">
        <v>8063</v>
      </c>
      <c r="K20" s="12">
        <v>6649</v>
      </c>
      <c r="L20" s="12">
        <v>5645</v>
      </c>
      <c r="M20" s="12">
        <v>4124</v>
      </c>
      <c r="N20" s="12">
        <v>4081</v>
      </c>
    </row>
    <row r="21" spans="1:14" s="48" customFormat="1" ht="12.75" customHeight="1">
      <c r="A21" s="4">
        <v>2001</v>
      </c>
      <c r="B21" s="51">
        <f t="shared" si="0"/>
        <v>70872</v>
      </c>
      <c r="C21" s="12">
        <v>2350</v>
      </c>
      <c r="D21" s="12">
        <v>2007</v>
      </c>
      <c r="E21" s="12">
        <v>5145</v>
      </c>
      <c r="F21" s="12">
        <v>5064</v>
      </c>
      <c r="G21" s="12">
        <v>10504</v>
      </c>
      <c r="H21" s="12">
        <v>9929</v>
      </c>
      <c r="I21" s="12">
        <v>8726</v>
      </c>
      <c r="J21" s="12">
        <v>7138</v>
      </c>
      <c r="K21" s="12">
        <v>8482</v>
      </c>
      <c r="L21" s="12">
        <v>4846</v>
      </c>
      <c r="M21" s="12">
        <v>3395</v>
      </c>
      <c r="N21" s="12">
        <v>3286</v>
      </c>
    </row>
    <row r="22" spans="1:14" s="48" customFormat="1" ht="12.75" customHeight="1">
      <c r="A22" s="4">
        <v>2002</v>
      </c>
      <c r="B22" s="51">
        <f t="shared" si="0"/>
        <v>72582</v>
      </c>
      <c r="C22" s="12">
        <v>2302</v>
      </c>
      <c r="D22" s="12">
        <v>2194</v>
      </c>
      <c r="E22" s="12">
        <v>4227</v>
      </c>
      <c r="F22" s="12">
        <v>5438</v>
      </c>
      <c r="G22" s="12">
        <v>9944</v>
      </c>
      <c r="H22" s="12">
        <v>8360</v>
      </c>
      <c r="I22" s="12">
        <v>6265</v>
      </c>
      <c r="J22" s="12">
        <v>6627</v>
      </c>
      <c r="K22" s="12">
        <v>5688</v>
      </c>
      <c r="L22" s="12">
        <v>7504</v>
      </c>
      <c r="M22" s="12">
        <v>8720</v>
      </c>
      <c r="N22" s="12">
        <v>5313</v>
      </c>
    </row>
    <row r="23" spans="1:14" s="48" customFormat="1" ht="12.75" customHeight="1">
      <c r="A23" s="4">
        <v>2003</v>
      </c>
      <c r="B23" s="51">
        <f t="shared" si="0"/>
        <v>52242</v>
      </c>
      <c r="C23" s="12">
        <v>3558</v>
      </c>
      <c r="D23" s="12">
        <v>2102</v>
      </c>
      <c r="E23" s="12">
        <v>2750</v>
      </c>
      <c r="F23" s="12">
        <v>6003</v>
      </c>
      <c r="G23" s="12">
        <v>9353</v>
      </c>
      <c r="H23" s="12">
        <v>6765</v>
      </c>
      <c r="I23" s="12">
        <v>3557</v>
      </c>
      <c r="J23" s="12">
        <v>2943</v>
      </c>
      <c r="K23" s="12">
        <v>3064</v>
      </c>
      <c r="L23" s="12">
        <v>5709</v>
      </c>
      <c r="M23" s="12">
        <v>3642</v>
      </c>
      <c r="N23" s="12">
        <v>2796</v>
      </c>
    </row>
    <row r="24" spans="1:14" s="48" customFormat="1" ht="12.75" customHeight="1">
      <c r="A24" s="4">
        <v>2004</v>
      </c>
      <c r="B24" s="51">
        <f t="shared" si="0"/>
        <v>60562</v>
      </c>
      <c r="C24" s="12">
        <v>2865</v>
      </c>
      <c r="D24" s="12">
        <v>1996</v>
      </c>
      <c r="E24" s="12">
        <v>2963</v>
      </c>
      <c r="F24" s="12">
        <v>5358</v>
      </c>
      <c r="G24" s="12">
        <v>8826</v>
      </c>
      <c r="H24" s="12">
        <v>8960</v>
      </c>
      <c r="I24" s="12">
        <v>8825</v>
      </c>
      <c r="J24" s="12">
        <v>5548</v>
      </c>
      <c r="K24" s="12">
        <v>4631</v>
      </c>
      <c r="L24" s="12">
        <v>5137</v>
      </c>
      <c r="M24" s="12">
        <v>3436</v>
      </c>
      <c r="N24" s="12">
        <v>2017</v>
      </c>
    </row>
    <row r="25" spans="1:14" s="48" customFormat="1" ht="18" customHeight="1">
      <c r="A25" s="4">
        <v>2005</v>
      </c>
      <c r="B25" s="51">
        <f t="shared" si="0"/>
        <v>57817</v>
      </c>
      <c r="C25" s="12">
        <v>1774</v>
      </c>
      <c r="D25" s="12">
        <v>1528</v>
      </c>
      <c r="E25" s="12">
        <v>3532</v>
      </c>
      <c r="F25" s="12">
        <v>6365</v>
      </c>
      <c r="G25" s="12">
        <v>9841</v>
      </c>
      <c r="H25" s="12">
        <v>7987</v>
      </c>
      <c r="I25" s="12">
        <v>7031</v>
      </c>
      <c r="J25" s="12">
        <v>7481</v>
      </c>
      <c r="K25" s="12">
        <v>4468</v>
      </c>
      <c r="L25" s="12">
        <v>3962</v>
      </c>
      <c r="M25" s="12">
        <v>2218</v>
      </c>
      <c r="N25" s="12">
        <v>1630</v>
      </c>
    </row>
    <row r="26" spans="1:14" s="48" customFormat="1" ht="12.75" customHeight="1">
      <c r="A26" s="4">
        <v>2006</v>
      </c>
      <c r="B26" s="51">
        <f t="shared" si="0"/>
        <v>58071</v>
      </c>
      <c r="C26" s="12">
        <v>1533</v>
      </c>
      <c r="D26" s="12">
        <v>1231</v>
      </c>
      <c r="E26" s="12">
        <v>2109</v>
      </c>
      <c r="F26" s="12">
        <v>6268</v>
      </c>
      <c r="G26" s="12">
        <v>10076</v>
      </c>
      <c r="H26" s="12">
        <v>9349</v>
      </c>
      <c r="I26" s="12">
        <v>4075</v>
      </c>
      <c r="J26" s="12">
        <v>6497</v>
      </c>
      <c r="K26" s="12">
        <v>6444</v>
      </c>
      <c r="L26" s="12">
        <v>4495</v>
      </c>
      <c r="M26" s="12">
        <v>3386</v>
      </c>
      <c r="N26" s="12">
        <v>2608</v>
      </c>
    </row>
    <row r="27" spans="1:14" ht="12.75" customHeight="1">
      <c r="A27" s="4">
        <v>2007</v>
      </c>
      <c r="B27" s="51">
        <f t="shared" si="0"/>
        <v>63575</v>
      </c>
      <c r="C27" s="12">
        <v>3755</v>
      </c>
      <c r="D27" s="12">
        <v>2033</v>
      </c>
      <c r="E27" s="12">
        <v>2971</v>
      </c>
      <c r="F27" s="12">
        <v>6076</v>
      </c>
      <c r="G27" s="12">
        <v>7917</v>
      </c>
      <c r="H27" s="12">
        <v>8242</v>
      </c>
      <c r="I27" s="12">
        <v>7843</v>
      </c>
      <c r="J27" s="12">
        <v>7499</v>
      </c>
      <c r="K27" s="12">
        <v>7162</v>
      </c>
      <c r="L27" s="12">
        <v>4230</v>
      </c>
      <c r="M27" s="12">
        <v>2835</v>
      </c>
      <c r="N27" s="12">
        <v>3012</v>
      </c>
    </row>
    <row r="28" spans="1:14" ht="12.75" customHeight="1">
      <c r="A28" s="4">
        <v>2008</v>
      </c>
      <c r="B28" s="51">
        <f t="shared" si="0"/>
        <v>62314</v>
      </c>
      <c r="C28" s="12">
        <v>1960</v>
      </c>
      <c r="D28" s="12">
        <v>1623</v>
      </c>
      <c r="E28" s="12">
        <v>3170</v>
      </c>
      <c r="F28" s="12">
        <v>4949</v>
      </c>
      <c r="G28" s="12">
        <v>9434</v>
      </c>
      <c r="H28" s="12">
        <v>9208</v>
      </c>
      <c r="I28" s="12">
        <v>8193</v>
      </c>
      <c r="J28" s="12">
        <v>7218</v>
      </c>
      <c r="K28" s="12">
        <v>6071</v>
      </c>
      <c r="L28" s="12">
        <v>3979</v>
      </c>
      <c r="M28" s="12">
        <v>4064</v>
      </c>
      <c r="N28" s="12">
        <v>2445</v>
      </c>
    </row>
    <row r="29" spans="1:14" ht="12.75" customHeight="1">
      <c r="A29" s="4">
        <v>2009</v>
      </c>
      <c r="B29" s="66">
        <f t="shared" si="0"/>
        <v>61062</v>
      </c>
      <c r="C29" s="63">
        <v>1814</v>
      </c>
      <c r="D29" s="63">
        <v>1409</v>
      </c>
      <c r="E29" s="63">
        <v>1677</v>
      </c>
      <c r="F29" s="63">
        <v>7851</v>
      </c>
      <c r="G29" s="63">
        <v>9978</v>
      </c>
      <c r="H29" s="63">
        <v>8759</v>
      </c>
      <c r="I29" s="63">
        <v>8221</v>
      </c>
      <c r="J29" s="63">
        <v>6154</v>
      </c>
      <c r="K29" s="63">
        <v>3804</v>
      </c>
      <c r="L29" s="63">
        <v>3646</v>
      </c>
      <c r="M29" s="63">
        <v>4345</v>
      </c>
      <c r="N29" s="63">
        <v>3404</v>
      </c>
    </row>
    <row r="30" spans="1:14" ht="12.75" customHeight="1">
      <c r="A30" s="4">
        <v>2010</v>
      </c>
      <c r="B30" s="66">
        <f>SUM(C30:N30)</f>
        <v>66587</v>
      </c>
      <c r="C30" s="63">
        <v>2395</v>
      </c>
      <c r="D30" s="63">
        <v>1357</v>
      </c>
      <c r="E30" s="63">
        <v>2692</v>
      </c>
      <c r="F30" s="63">
        <v>4954</v>
      </c>
      <c r="G30" s="63">
        <v>9424</v>
      </c>
      <c r="H30" s="63">
        <v>9322</v>
      </c>
      <c r="I30" s="63">
        <v>6964</v>
      </c>
      <c r="J30" s="63">
        <v>9417</v>
      </c>
      <c r="K30" s="63">
        <v>7024</v>
      </c>
      <c r="L30" s="63">
        <v>5048</v>
      </c>
      <c r="M30" s="63">
        <v>4792</v>
      </c>
      <c r="N30" s="63">
        <v>3198</v>
      </c>
    </row>
    <row r="31" spans="1:14" ht="12.75" customHeight="1">
      <c r="A31" s="4">
        <v>2011</v>
      </c>
      <c r="B31" s="107">
        <f>SUM(C31:N31)</f>
        <v>57151.86285</v>
      </c>
      <c r="C31" s="15">
        <v>2919.4122999999995</v>
      </c>
      <c r="D31" s="15">
        <v>1795.0546000000002</v>
      </c>
      <c r="E31" s="15">
        <v>2233.2707</v>
      </c>
      <c r="F31" s="15">
        <v>5040.3069</v>
      </c>
      <c r="G31" s="15">
        <v>7273.67215</v>
      </c>
      <c r="H31" s="15">
        <v>8082.897599999998</v>
      </c>
      <c r="I31" s="15">
        <v>8048.199200000001</v>
      </c>
      <c r="J31" s="15">
        <v>6106.080100000001</v>
      </c>
      <c r="K31" s="15">
        <v>5290.2684</v>
      </c>
      <c r="L31" s="15">
        <v>5497.105799999999</v>
      </c>
      <c r="M31" s="15">
        <v>2904.4406</v>
      </c>
      <c r="N31" s="15">
        <v>1961.1544999999999</v>
      </c>
    </row>
    <row r="32" spans="1:14" ht="12.75" customHeight="1">
      <c r="A32" s="4">
        <v>2012</v>
      </c>
      <c r="B32" s="107">
        <v>67831</v>
      </c>
      <c r="C32" s="15">
        <v>2078</v>
      </c>
      <c r="D32" s="15">
        <v>1373</v>
      </c>
      <c r="E32" s="15">
        <v>3937</v>
      </c>
      <c r="F32" s="15">
        <v>5845</v>
      </c>
      <c r="G32" s="15">
        <v>10105</v>
      </c>
      <c r="H32" s="15">
        <v>9850</v>
      </c>
      <c r="I32" s="15">
        <v>6111</v>
      </c>
      <c r="J32" s="15">
        <v>5917</v>
      </c>
      <c r="K32" s="15">
        <v>7333</v>
      </c>
      <c r="L32" s="15">
        <v>6967</v>
      </c>
      <c r="M32" s="15">
        <v>5021</v>
      </c>
      <c r="N32" s="15">
        <v>3293</v>
      </c>
    </row>
    <row r="33" spans="1:14" ht="12.75" customHeight="1">
      <c r="A33" s="4">
        <v>2013</v>
      </c>
      <c r="B33" s="107">
        <v>63586.134399999995</v>
      </c>
      <c r="C33" s="15">
        <v>2853.2946500000003</v>
      </c>
      <c r="D33" s="15">
        <v>2189.2486</v>
      </c>
      <c r="E33" s="15">
        <v>2351.2169000000004</v>
      </c>
      <c r="F33" s="15">
        <v>5869.487950000001</v>
      </c>
      <c r="G33" s="15">
        <v>8943.5377</v>
      </c>
      <c r="H33" s="15">
        <v>9612.012299999999</v>
      </c>
      <c r="I33" s="15">
        <v>7298.505</v>
      </c>
      <c r="J33" s="15">
        <v>4927.6406</v>
      </c>
      <c r="K33" s="15">
        <v>6282.015450000001</v>
      </c>
      <c r="L33" s="15">
        <v>6313.62485</v>
      </c>
      <c r="M33" s="15">
        <v>4221.77685</v>
      </c>
      <c r="N33" s="15">
        <v>2723.7735500000003</v>
      </c>
    </row>
    <row r="34" spans="1:14" ht="12.75" customHeight="1">
      <c r="A34" s="4">
        <v>2014</v>
      </c>
      <c r="B34" s="107">
        <v>16804</v>
      </c>
      <c r="C34" s="15">
        <v>2414.9</v>
      </c>
      <c r="D34" s="15">
        <v>418.2</v>
      </c>
      <c r="E34" s="15">
        <v>434.8</v>
      </c>
      <c r="F34" s="15">
        <v>1125.2</v>
      </c>
      <c r="G34" s="15">
        <v>2125.9</v>
      </c>
      <c r="H34" s="15">
        <v>2000.2</v>
      </c>
      <c r="I34" s="15">
        <v>2337.1</v>
      </c>
      <c r="J34" s="15">
        <v>1699.9</v>
      </c>
      <c r="K34" s="15">
        <v>1482.5</v>
      </c>
      <c r="L34" s="15">
        <v>1012.6</v>
      </c>
      <c r="M34" s="15">
        <v>1181.7</v>
      </c>
      <c r="N34" s="15">
        <v>570.7</v>
      </c>
    </row>
    <row r="35" spans="1:14" ht="12.75" customHeight="1">
      <c r="A35" s="4">
        <v>2015</v>
      </c>
      <c r="B35" s="107">
        <f>SUM(C35:N35)</f>
        <v>43588.7</v>
      </c>
      <c r="C35" s="15">
        <v>519.7</v>
      </c>
      <c r="D35" s="15">
        <v>572.8</v>
      </c>
      <c r="E35" s="15">
        <v>1954.7</v>
      </c>
      <c r="F35" s="15">
        <v>3759.2</v>
      </c>
      <c r="G35" s="15">
        <v>5943</v>
      </c>
      <c r="H35" s="15">
        <v>7931.3</v>
      </c>
      <c r="I35" s="15">
        <v>4253</v>
      </c>
      <c r="J35" s="15">
        <v>3319.9</v>
      </c>
      <c r="K35" s="15">
        <v>5105.4</v>
      </c>
      <c r="L35" s="15">
        <v>4478</v>
      </c>
      <c r="M35" s="15">
        <v>3115.5</v>
      </c>
      <c r="N35" s="15">
        <v>2636.2</v>
      </c>
    </row>
    <row r="36" spans="1:14" ht="12.75" customHeight="1">
      <c r="A36" s="4">
        <v>2016</v>
      </c>
      <c r="B36" s="107">
        <f>SUM(C36:N36)</f>
        <v>62282.3</v>
      </c>
      <c r="C36" s="15">
        <f>1592.4+293.3</f>
        <v>1885.7</v>
      </c>
      <c r="D36" s="15">
        <f>2090+382.8</f>
        <v>2472.8</v>
      </c>
      <c r="E36" s="15">
        <f>1659.3+334</f>
        <v>1993.3</v>
      </c>
      <c r="F36" s="15">
        <f>6475.3+1615.1</f>
        <v>8090.4</v>
      </c>
      <c r="G36" s="15">
        <f>7295.3+2128.9</f>
        <v>9424.2</v>
      </c>
      <c r="H36" s="15">
        <f>7502.6+2579.3</f>
        <v>10081.900000000001</v>
      </c>
      <c r="I36" s="15">
        <f>6438.8+1952.7</f>
        <v>8391.5</v>
      </c>
      <c r="J36" s="15">
        <f>5929.2+1502.4</f>
        <v>7431.6</v>
      </c>
      <c r="K36" s="15">
        <f>3723.6+798.4</f>
        <v>4522</v>
      </c>
      <c r="L36" s="15">
        <f>2413.3+291.7</f>
        <v>2705</v>
      </c>
      <c r="M36" s="15">
        <v>2953.1</v>
      </c>
      <c r="N36" s="15">
        <f>2015+315.8</f>
        <v>2330.8</v>
      </c>
    </row>
    <row r="37" spans="1:14" ht="12.75" customHeight="1">
      <c r="A37" s="4">
        <v>2017</v>
      </c>
      <c r="B37" s="107">
        <f>SUM(C37:N37)</f>
        <v>63412.49999999999</v>
      </c>
      <c r="C37" s="15">
        <f>1385+191.1</f>
        <v>1576.1</v>
      </c>
      <c r="D37" s="15">
        <f>1462.6+238.1</f>
        <v>1700.6999999999998</v>
      </c>
      <c r="E37" s="15">
        <f>3721.4+656.1</f>
        <v>4377.5</v>
      </c>
      <c r="F37" s="15">
        <f>4602.5+1212</f>
        <v>5814.5</v>
      </c>
      <c r="G37" s="15">
        <f>7393.9+2267.7</f>
        <v>9661.599999999999</v>
      </c>
      <c r="H37" s="15">
        <f>5897.9+2070.6</f>
        <v>7968.5</v>
      </c>
      <c r="I37" s="15">
        <f>4798.8+1511.6</f>
        <v>6310.4</v>
      </c>
      <c r="J37" s="15">
        <f>5022.9+1464.7</f>
        <v>6487.599999999999</v>
      </c>
      <c r="K37" s="15">
        <f>4825.9+1809.2</f>
        <v>6635.099999999999</v>
      </c>
      <c r="L37" s="15">
        <f>4533+1172.3</f>
        <v>5705.3</v>
      </c>
      <c r="M37" s="15">
        <f>3537.5+839.2</f>
        <v>4376.7</v>
      </c>
      <c r="N37" s="15">
        <f>2370.7+427.8</f>
        <v>2798.5</v>
      </c>
    </row>
    <row r="38" spans="1:14" ht="12.75" customHeight="1">
      <c r="A38" s="4">
        <v>2018</v>
      </c>
      <c r="B38" s="107">
        <f>SUM(C38:N38)</f>
        <v>56948.59999999999</v>
      </c>
      <c r="C38" s="15">
        <f>3338.3+555</f>
        <v>3893.3</v>
      </c>
      <c r="D38" s="15">
        <f>1856.3+285.8</f>
        <v>2142.1</v>
      </c>
      <c r="E38" s="15">
        <f>2060.1+89.1</f>
        <v>2149.2</v>
      </c>
      <c r="F38" s="15">
        <f>6656.4+1892.3</f>
        <v>8548.699999999999</v>
      </c>
      <c r="G38" s="15">
        <f>8059.5+2497.8</f>
        <v>10557.3</v>
      </c>
      <c r="H38" s="15">
        <f>4941.7+1764.2</f>
        <v>6705.9</v>
      </c>
      <c r="I38" s="15">
        <f>2430.6+769.1</f>
        <v>3199.7</v>
      </c>
      <c r="J38" s="15">
        <f>2649.8+461.8</f>
        <v>3111.6000000000004</v>
      </c>
      <c r="K38" s="15">
        <f>3940.5+1020.1</f>
        <v>4960.6</v>
      </c>
      <c r="L38" s="15">
        <f>3281.6+642.3</f>
        <v>3923.8999999999996</v>
      </c>
      <c r="M38" s="15">
        <f>2867.9+636.8</f>
        <v>3504.7</v>
      </c>
      <c r="N38" s="15">
        <f>3465.9+785.7</f>
        <v>4251.6</v>
      </c>
    </row>
    <row r="39" spans="1:14" ht="12.75" customHeight="1">
      <c r="A39" s="4">
        <v>2019</v>
      </c>
      <c r="B39" s="107">
        <f>SUM(C39:N39)</f>
        <v>69241.5</v>
      </c>
      <c r="C39" s="15">
        <f>2251+336.5</f>
        <v>2587.5</v>
      </c>
      <c r="D39" s="15">
        <f>1904.6+244.7</f>
        <v>2149.2999999999997</v>
      </c>
      <c r="E39" s="15">
        <f>3123.2+525.4</f>
        <v>3648.6</v>
      </c>
      <c r="F39" s="15">
        <f>5065.6+1259.4</f>
        <v>6325</v>
      </c>
      <c r="G39" s="15">
        <f>7344.4+1922.8</f>
        <v>9267.199999999999</v>
      </c>
      <c r="H39" s="15">
        <f>7865+2616.6</f>
        <v>10481.6</v>
      </c>
      <c r="I39" s="15">
        <f>4695.9+1565.6</f>
        <v>6261.5</v>
      </c>
      <c r="J39" s="15">
        <f>6203.6+1660.2</f>
        <v>7863.8</v>
      </c>
      <c r="K39" s="15">
        <f>4988.4+1326.5</f>
        <v>6314.9</v>
      </c>
      <c r="L39" s="15">
        <f>5303+1239.2</f>
        <v>6542.2</v>
      </c>
      <c r="M39" s="15">
        <f>3735.3+823.1</f>
        <v>4558.400000000001</v>
      </c>
      <c r="N39" s="15">
        <f>2810.6+430.9</f>
        <v>3241.5</v>
      </c>
    </row>
    <row r="41" spans="1:14" ht="11.25">
      <c r="A41" s="210" t="s">
        <v>12</v>
      </c>
      <c r="B41" s="210"/>
      <c r="C41" s="210"/>
      <c r="D41" s="210"/>
      <c r="E41" s="210"/>
      <c r="F41" s="210"/>
      <c r="G41" s="210"/>
      <c r="H41" s="210"/>
      <c r="I41" s="210"/>
      <c r="J41" s="210"/>
      <c r="K41" s="210"/>
      <c r="L41" s="210"/>
      <c r="M41" s="210"/>
      <c r="N41" s="210"/>
    </row>
    <row r="42" spans="1:14" ht="11.25">
      <c r="A42" s="223" t="s">
        <v>143</v>
      </c>
      <c r="B42" s="223"/>
      <c r="C42" s="223"/>
      <c r="D42" s="223"/>
      <c r="E42" s="223"/>
      <c r="F42" s="223"/>
      <c r="G42" s="223"/>
      <c r="H42" s="223"/>
      <c r="I42" s="223"/>
      <c r="J42" s="223"/>
      <c r="K42" s="223"/>
      <c r="L42" s="223"/>
      <c r="M42" s="223"/>
      <c r="N42" s="223"/>
    </row>
    <row r="45" ht="11.25">
      <c r="J45" s="122"/>
    </row>
  </sheetData>
  <sheetProtection/>
  <mergeCells count="5">
    <mergeCell ref="A1:N1"/>
    <mergeCell ref="C3:N3"/>
    <mergeCell ref="A3:A4"/>
    <mergeCell ref="A41:N41"/>
    <mergeCell ref="A42:N42"/>
  </mergeCells>
  <printOptions/>
  <pageMargins left="0.787401575" right="0.787401575" top="0.984251969" bottom="0.984251969" header="0.511811023" footer="0.511811023"/>
  <pageSetup horizontalDpi="300" verticalDpi="300" orientation="landscape" paperSize="9" scale="83" r:id="rId2"/>
  <headerFooter alignWithMargins="0">
    <oddFooter>&amp;CSeite &amp;P</oddFooter>
  </headerFooter>
  <drawing r:id="rId1"/>
</worksheet>
</file>

<file path=xl/worksheets/sheet12.xml><?xml version="1.0" encoding="utf-8"?>
<worksheet xmlns="http://schemas.openxmlformats.org/spreadsheetml/2006/main" xmlns:r="http://schemas.openxmlformats.org/officeDocument/2006/relationships">
  <sheetPr>
    <tabColor rgb="FF92D050"/>
  </sheetPr>
  <dimension ref="A1:Q38"/>
  <sheetViews>
    <sheetView showGridLines="0" zoomScale="130" zoomScaleNormal="130" zoomScalePageLayoutView="0" workbookViewId="0" topLeftCell="A1">
      <selection activeCell="J9" sqref="J9"/>
    </sheetView>
  </sheetViews>
  <sheetFormatPr defaultColWidth="10.28125" defaultRowHeight="12.75"/>
  <cols>
    <col min="1" max="1" width="9.28125" style="9" bestFit="1" customWidth="1"/>
    <col min="2" max="4" width="11.57421875" style="9" customWidth="1"/>
    <col min="5" max="5" width="4.140625" style="9" customWidth="1"/>
    <col min="6" max="8" width="11.57421875" style="9" customWidth="1"/>
    <col min="9" max="16384" width="10.28125" style="9" customWidth="1"/>
  </cols>
  <sheetData>
    <row r="1" spans="1:8" ht="12.75">
      <c r="A1" s="202" t="s">
        <v>80</v>
      </c>
      <c r="B1" s="202"/>
      <c r="C1" s="202"/>
      <c r="D1" s="202"/>
      <c r="E1" s="202"/>
      <c r="F1" s="202"/>
      <c r="G1" s="202"/>
      <c r="H1" s="202"/>
    </row>
    <row r="2" ht="11.25">
      <c r="H2" s="99" t="s">
        <v>95</v>
      </c>
    </row>
    <row r="3" spans="1:8" s="38" customFormat="1" ht="20.25" customHeight="1">
      <c r="A3" s="227" t="s">
        <v>0</v>
      </c>
      <c r="B3" s="228" t="s">
        <v>81</v>
      </c>
      <c r="C3" s="228"/>
      <c r="D3" s="228"/>
      <c r="E3" s="50"/>
      <c r="F3" s="229" t="s">
        <v>82</v>
      </c>
      <c r="G3" s="229"/>
      <c r="H3" s="229"/>
    </row>
    <row r="4" spans="1:8" s="38" customFormat="1" ht="28.5" customHeight="1">
      <c r="A4" s="227"/>
      <c r="B4" s="85" t="s">
        <v>66</v>
      </c>
      <c r="C4" s="85" t="s">
        <v>65</v>
      </c>
      <c r="D4" s="191" t="s">
        <v>183</v>
      </c>
      <c r="E4" s="85"/>
      <c r="F4" s="85" t="s">
        <v>66</v>
      </c>
      <c r="G4" s="85" t="s">
        <v>65</v>
      </c>
      <c r="H4" s="191" t="s">
        <v>185</v>
      </c>
    </row>
    <row r="5" spans="1:8" s="38" customFormat="1" ht="13.5" customHeight="1">
      <c r="A5" s="227"/>
      <c r="B5" s="57" t="s">
        <v>32</v>
      </c>
      <c r="C5" s="57" t="s">
        <v>33</v>
      </c>
      <c r="D5" s="57" t="s">
        <v>184</v>
      </c>
      <c r="E5" s="57"/>
      <c r="F5" s="57" t="s">
        <v>32</v>
      </c>
      <c r="G5" s="57" t="s">
        <v>33</v>
      </c>
      <c r="H5" s="192" t="s">
        <v>186</v>
      </c>
    </row>
    <row r="6" spans="1:8" s="48" customFormat="1" ht="13.5" customHeight="1">
      <c r="A6" s="4">
        <v>1997</v>
      </c>
      <c r="B6" s="16">
        <v>194</v>
      </c>
      <c r="C6" s="16">
        <v>430</v>
      </c>
      <c r="D6" s="91">
        <v>35</v>
      </c>
      <c r="E6" s="91"/>
      <c r="F6" s="16">
        <v>194</v>
      </c>
      <c r="G6" s="16">
        <v>430</v>
      </c>
      <c r="H6" s="91">
        <v>35</v>
      </c>
    </row>
    <row r="7" spans="1:12" s="48" customFormat="1" ht="12.75" customHeight="1">
      <c r="A7" s="4">
        <v>1998</v>
      </c>
      <c r="B7" s="16">
        <v>242</v>
      </c>
      <c r="C7" s="16">
        <v>538</v>
      </c>
      <c r="D7" s="91">
        <v>38</v>
      </c>
      <c r="E7" s="91"/>
      <c r="F7" s="15">
        <v>436</v>
      </c>
      <c r="G7" s="15">
        <f>G6+C7</f>
        <v>968</v>
      </c>
      <c r="H7" s="120">
        <f>+D6+D7</f>
        <v>73</v>
      </c>
      <c r="I7" s="194"/>
      <c r="J7" s="194"/>
      <c r="K7" s="194"/>
      <c r="L7" s="194"/>
    </row>
    <row r="8" spans="1:12" s="48" customFormat="1" ht="12.75" customHeight="1">
      <c r="A8" s="4">
        <v>1999</v>
      </c>
      <c r="B8" s="16">
        <f aca="true" t="shared" si="0" ref="B8:B18">+F8-F7</f>
        <v>204</v>
      </c>
      <c r="C8" s="16">
        <v>454</v>
      </c>
      <c r="D8" s="91">
        <v>38</v>
      </c>
      <c r="E8" s="91"/>
      <c r="F8" s="16">
        <v>640</v>
      </c>
      <c r="G8" s="16">
        <f aca="true" t="shared" si="1" ref="G8:G25">G7+C8</f>
        <v>1422</v>
      </c>
      <c r="H8" s="91">
        <f>+H7+D8</f>
        <v>111</v>
      </c>
      <c r="J8" s="194"/>
      <c r="K8" s="194"/>
      <c r="L8" s="194"/>
    </row>
    <row r="9" spans="1:12" s="48" customFormat="1" ht="18" customHeight="1">
      <c r="A9" s="4">
        <v>2000</v>
      </c>
      <c r="B9" s="16">
        <f t="shared" si="0"/>
        <v>339</v>
      </c>
      <c r="C9" s="16">
        <v>753</v>
      </c>
      <c r="D9" s="91">
        <v>62</v>
      </c>
      <c r="E9" s="91"/>
      <c r="F9" s="16">
        <v>979</v>
      </c>
      <c r="G9" s="16">
        <f t="shared" si="1"/>
        <v>2175</v>
      </c>
      <c r="H9" s="91">
        <f aca="true" t="shared" si="2" ref="H9:H25">+H8+D9</f>
        <v>173</v>
      </c>
      <c r="J9" s="194"/>
      <c r="K9" s="194"/>
      <c r="L9" s="194"/>
    </row>
    <row r="10" spans="1:12" s="48" customFormat="1" ht="12.75" customHeight="1">
      <c r="A10" s="4">
        <v>2001</v>
      </c>
      <c r="B10" s="16">
        <f t="shared" si="0"/>
        <v>289</v>
      </c>
      <c r="C10" s="16">
        <v>643</v>
      </c>
      <c r="D10" s="91">
        <v>51</v>
      </c>
      <c r="E10" s="91"/>
      <c r="F10" s="16">
        <v>1268</v>
      </c>
      <c r="G10" s="16">
        <f t="shared" si="1"/>
        <v>2818</v>
      </c>
      <c r="H10" s="91">
        <f t="shared" si="2"/>
        <v>224</v>
      </c>
      <c r="J10" s="194"/>
      <c r="K10" s="194"/>
      <c r="L10" s="194"/>
    </row>
    <row r="11" spans="1:12" s="48" customFormat="1" ht="12.75" customHeight="1">
      <c r="A11" s="4">
        <v>2002</v>
      </c>
      <c r="B11" s="16">
        <f t="shared" si="0"/>
        <v>368</v>
      </c>
      <c r="C11" s="16">
        <v>818</v>
      </c>
      <c r="D11" s="91">
        <v>66</v>
      </c>
      <c r="E11" s="91"/>
      <c r="F11" s="16">
        <v>1636</v>
      </c>
      <c r="G11" s="16">
        <f t="shared" si="1"/>
        <v>3636</v>
      </c>
      <c r="H11" s="91">
        <f t="shared" si="2"/>
        <v>290</v>
      </c>
      <c r="J11" s="194"/>
      <c r="K11" s="194"/>
      <c r="L11" s="194"/>
    </row>
    <row r="12" spans="1:12" s="48" customFormat="1" ht="12.75" customHeight="1">
      <c r="A12" s="4">
        <v>2003</v>
      </c>
      <c r="B12" s="16">
        <f t="shared" si="0"/>
        <v>496</v>
      </c>
      <c r="C12" s="16">
        <v>1102</v>
      </c>
      <c r="D12" s="91">
        <v>80</v>
      </c>
      <c r="E12" s="91"/>
      <c r="F12" s="16">
        <v>2132</v>
      </c>
      <c r="G12" s="16">
        <f t="shared" si="1"/>
        <v>4738</v>
      </c>
      <c r="H12" s="91">
        <f t="shared" si="2"/>
        <v>370</v>
      </c>
      <c r="J12" s="194"/>
      <c r="K12" s="194"/>
      <c r="L12" s="194"/>
    </row>
    <row r="13" spans="1:12" s="48" customFormat="1" ht="12.75" customHeight="1">
      <c r="A13" s="4">
        <v>2004</v>
      </c>
      <c r="B13" s="16">
        <f t="shared" si="0"/>
        <v>347</v>
      </c>
      <c r="C13" s="16">
        <v>771</v>
      </c>
      <c r="D13" s="91">
        <v>71</v>
      </c>
      <c r="E13" s="91"/>
      <c r="F13" s="16">
        <v>2479</v>
      </c>
      <c r="G13" s="16">
        <f t="shared" si="1"/>
        <v>5509</v>
      </c>
      <c r="H13" s="91">
        <f t="shared" si="2"/>
        <v>441</v>
      </c>
      <c r="J13" s="194"/>
      <c r="K13" s="194"/>
      <c r="L13" s="194"/>
    </row>
    <row r="14" spans="1:12" s="48" customFormat="1" ht="18" customHeight="1">
      <c r="A14" s="4">
        <v>2005</v>
      </c>
      <c r="B14" s="16">
        <f t="shared" si="0"/>
        <v>705</v>
      </c>
      <c r="C14" s="16">
        <v>1566</v>
      </c>
      <c r="D14" s="91">
        <v>129</v>
      </c>
      <c r="E14" s="91"/>
      <c r="F14" s="16">
        <v>3184</v>
      </c>
      <c r="G14" s="16">
        <f t="shared" si="1"/>
        <v>7075</v>
      </c>
      <c r="H14" s="91">
        <f t="shared" si="2"/>
        <v>570</v>
      </c>
      <c r="J14" s="194"/>
      <c r="K14" s="194"/>
      <c r="L14" s="194"/>
    </row>
    <row r="15" spans="1:12" s="48" customFormat="1" ht="12.75" customHeight="1">
      <c r="A15" s="4">
        <v>2006</v>
      </c>
      <c r="B15" s="16">
        <f t="shared" si="0"/>
        <v>693</v>
      </c>
      <c r="C15" s="16">
        <v>1541</v>
      </c>
      <c r="D15" s="91">
        <v>137</v>
      </c>
      <c r="E15" s="91"/>
      <c r="F15" s="16">
        <v>3877</v>
      </c>
      <c r="G15" s="16">
        <f t="shared" si="1"/>
        <v>8616</v>
      </c>
      <c r="H15" s="91">
        <f t="shared" si="2"/>
        <v>707</v>
      </c>
      <c r="J15" s="194"/>
      <c r="K15" s="194"/>
      <c r="L15" s="194"/>
    </row>
    <row r="16" spans="1:12" ht="12.75" customHeight="1">
      <c r="A16" s="4">
        <v>2007</v>
      </c>
      <c r="B16" s="16">
        <f t="shared" si="0"/>
        <v>661</v>
      </c>
      <c r="C16" s="16">
        <v>1469</v>
      </c>
      <c r="D16" s="92">
        <v>128</v>
      </c>
      <c r="E16" s="92"/>
      <c r="F16" s="16">
        <v>4538</v>
      </c>
      <c r="G16" s="16">
        <f t="shared" si="1"/>
        <v>10085</v>
      </c>
      <c r="H16" s="91">
        <f t="shared" si="2"/>
        <v>835</v>
      </c>
      <c r="J16" s="194"/>
      <c r="K16" s="194"/>
      <c r="L16" s="194"/>
    </row>
    <row r="17" spans="1:12" ht="12.75" customHeight="1">
      <c r="A17" s="4">
        <v>2008</v>
      </c>
      <c r="B17" s="16">
        <f t="shared" si="0"/>
        <v>1372</v>
      </c>
      <c r="C17" s="16">
        <v>3049</v>
      </c>
      <c r="D17" s="92">
        <v>235</v>
      </c>
      <c r="E17" s="92"/>
      <c r="F17" s="16">
        <v>5910</v>
      </c>
      <c r="G17" s="16">
        <f t="shared" si="1"/>
        <v>13134</v>
      </c>
      <c r="H17" s="91">
        <f t="shared" si="2"/>
        <v>1070</v>
      </c>
      <c r="J17" s="194"/>
      <c r="K17" s="194"/>
      <c r="L17" s="194"/>
    </row>
    <row r="18" spans="1:12" ht="12.75" customHeight="1">
      <c r="A18" s="4">
        <v>2009</v>
      </c>
      <c r="B18" s="16">
        <f t="shared" si="0"/>
        <v>1270</v>
      </c>
      <c r="C18" s="16">
        <v>2821</v>
      </c>
      <c r="D18" s="92">
        <v>221</v>
      </c>
      <c r="E18" s="92"/>
      <c r="F18" s="15">
        <v>7180</v>
      </c>
      <c r="G18" s="16">
        <f t="shared" si="1"/>
        <v>15955</v>
      </c>
      <c r="H18" s="91">
        <f t="shared" si="2"/>
        <v>1291</v>
      </c>
      <c r="J18" s="194"/>
      <c r="K18" s="194"/>
      <c r="L18" s="194"/>
    </row>
    <row r="19" spans="1:12" ht="12.75" customHeight="1">
      <c r="A19" s="4">
        <v>2010</v>
      </c>
      <c r="B19" s="16">
        <f>+F19-F18</f>
        <v>955</v>
      </c>
      <c r="C19" s="16">
        <v>2123</v>
      </c>
      <c r="D19" s="92">
        <v>162</v>
      </c>
      <c r="E19" s="92"/>
      <c r="F19" s="15">
        <f>+F18+955</f>
        <v>8135</v>
      </c>
      <c r="G19" s="16">
        <f t="shared" si="1"/>
        <v>18078</v>
      </c>
      <c r="H19" s="91">
        <f t="shared" si="2"/>
        <v>1453</v>
      </c>
      <c r="J19" s="194"/>
      <c r="K19" s="194"/>
      <c r="L19" s="194"/>
    </row>
    <row r="20" spans="1:12" ht="12.75" customHeight="1">
      <c r="A20" s="4">
        <v>2011</v>
      </c>
      <c r="B20" s="16">
        <f>+F20-F19</f>
        <v>873</v>
      </c>
      <c r="C20" s="16">
        <v>1939</v>
      </c>
      <c r="D20" s="92">
        <v>141</v>
      </c>
      <c r="E20" s="92"/>
      <c r="F20" s="15">
        <f>+F19+873</f>
        <v>9008</v>
      </c>
      <c r="G20" s="16">
        <f t="shared" si="1"/>
        <v>20017</v>
      </c>
      <c r="H20" s="91">
        <f t="shared" si="2"/>
        <v>1594</v>
      </c>
      <c r="J20" s="194"/>
      <c r="K20" s="194"/>
      <c r="L20" s="194"/>
    </row>
    <row r="21" spans="1:12" ht="12.75" customHeight="1">
      <c r="A21" s="4">
        <v>2012</v>
      </c>
      <c r="B21" s="15">
        <f>+F21-F20</f>
        <v>533</v>
      </c>
      <c r="C21" s="15">
        <v>1185</v>
      </c>
      <c r="D21" s="119">
        <v>98</v>
      </c>
      <c r="E21" s="119"/>
      <c r="F21" s="15">
        <f>+F20+533</f>
        <v>9541</v>
      </c>
      <c r="G21" s="16">
        <f t="shared" si="1"/>
        <v>21202</v>
      </c>
      <c r="H21" s="120">
        <f t="shared" si="2"/>
        <v>1692</v>
      </c>
      <c r="J21" s="194"/>
      <c r="K21" s="194"/>
      <c r="L21" s="194"/>
    </row>
    <row r="22" spans="1:12" ht="12.75" customHeight="1">
      <c r="A22" s="4">
        <v>2013</v>
      </c>
      <c r="B22" s="15">
        <f aca="true" t="shared" si="3" ref="B22:B27">+C22*0.45</f>
        <v>341.1</v>
      </c>
      <c r="C22" s="15">
        <v>758</v>
      </c>
      <c r="D22" s="119">
        <v>57</v>
      </c>
      <c r="E22" s="119"/>
      <c r="F22" s="15">
        <f>+G22*0.45</f>
        <v>9882</v>
      </c>
      <c r="G22" s="16">
        <f t="shared" si="1"/>
        <v>21960</v>
      </c>
      <c r="H22" s="120">
        <f t="shared" si="2"/>
        <v>1749</v>
      </c>
      <c r="J22" s="194"/>
      <c r="K22" s="194"/>
      <c r="L22" s="194"/>
    </row>
    <row r="23" spans="1:12" ht="12.75" customHeight="1">
      <c r="A23" s="4">
        <v>2014</v>
      </c>
      <c r="B23" s="15">
        <f t="shared" si="3"/>
        <v>264.15000000000003</v>
      </c>
      <c r="C23" s="15">
        <v>587</v>
      </c>
      <c r="D23" s="119">
        <v>45</v>
      </c>
      <c r="E23" s="119"/>
      <c r="F23" s="15">
        <f>+G23*0.45</f>
        <v>10146.15</v>
      </c>
      <c r="G23" s="16">
        <f t="shared" si="1"/>
        <v>22547</v>
      </c>
      <c r="H23" s="120">
        <f t="shared" si="2"/>
        <v>1794</v>
      </c>
      <c r="I23" s="122"/>
      <c r="J23" s="194"/>
      <c r="K23" s="194"/>
      <c r="L23" s="194"/>
    </row>
    <row r="24" spans="1:12" ht="12.75" customHeight="1">
      <c r="A24" s="4">
        <v>2015</v>
      </c>
      <c r="B24" s="15">
        <f t="shared" si="3"/>
        <v>109.35000000000001</v>
      </c>
      <c r="C24" s="15">
        <v>243</v>
      </c>
      <c r="D24" s="119">
        <v>13</v>
      </c>
      <c r="E24" s="119"/>
      <c r="F24" s="15">
        <f>+G24*0.45</f>
        <v>10255.5</v>
      </c>
      <c r="G24" s="16">
        <f t="shared" si="1"/>
        <v>22790</v>
      </c>
      <c r="H24" s="120">
        <f t="shared" si="2"/>
        <v>1807</v>
      </c>
      <c r="J24" s="194"/>
      <c r="K24" s="194"/>
      <c r="L24" s="194"/>
    </row>
    <row r="25" spans="1:15" ht="12.75" customHeight="1">
      <c r="A25" s="4">
        <v>2016</v>
      </c>
      <c r="B25" s="15">
        <f t="shared" si="3"/>
        <v>60.300000000000004</v>
      </c>
      <c r="C25" s="15">
        <v>134</v>
      </c>
      <c r="D25" s="119">
        <v>11</v>
      </c>
      <c r="E25" s="119"/>
      <c r="F25" s="15">
        <f>+G25*0.45</f>
        <v>10315.800000000001</v>
      </c>
      <c r="G25" s="16">
        <f t="shared" si="1"/>
        <v>22924</v>
      </c>
      <c r="H25" s="120">
        <f t="shared" si="2"/>
        <v>1818</v>
      </c>
      <c r="I25" s="249"/>
      <c r="J25" s="250"/>
      <c r="K25" s="250"/>
      <c r="L25" s="250"/>
      <c r="M25" s="249"/>
      <c r="N25" s="249"/>
      <c r="O25" s="249"/>
    </row>
    <row r="26" spans="1:15" ht="12.75" customHeight="1">
      <c r="A26" s="4">
        <v>2017</v>
      </c>
      <c r="B26" s="15">
        <f t="shared" si="3"/>
        <v>104.85000000000001</v>
      </c>
      <c r="C26" s="15">
        <v>233</v>
      </c>
      <c r="D26" s="119">
        <v>19</v>
      </c>
      <c r="E26" s="119"/>
      <c r="F26" s="15">
        <f>+G26*0.45</f>
        <v>10420.65</v>
      </c>
      <c r="G26" s="15">
        <f>G25+C26</f>
        <v>23157</v>
      </c>
      <c r="H26" s="120">
        <f>+H25+D26</f>
        <v>1837</v>
      </c>
      <c r="I26" s="151"/>
      <c r="J26" s="250"/>
      <c r="K26" s="250"/>
      <c r="L26" s="250"/>
      <c r="M26" s="249"/>
      <c r="N26" s="249"/>
      <c r="O26" s="251"/>
    </row>
    <row r="27" spans="1:17" ht="12.75" customHeight="1">
      <c r="A27" s="4">
        <v>2018</v>
      </c>
      <c r="B27" s="15">
        <f t="shared" si="3"/>
        <v>51.300000000000004</v>
      </c>
      <c r="C27" s="15">
        <v>114</v>
      </c>
      <c r="D27" s="119">
        <v>10</v>
      </c>
      <c r="E27" s="119"/>
      <c r="F27" s="15">
        <v>10278.45</v>
      </c>
      <c r="G27" s="15">
        <v>22841</v>
      </c>
      <c r="H27" s="120">
        <v>1812</v>
      </c>
      <c r="I27" s="151"/>
      <c r="J27" s="151"/>
      <c r="K27" s="151"/>
      <c r="L27" s="151"/>
      <c r="M27" s="151"/>
      <c r="N27" s="151"/>
      <c r="O27" s="151"/>
      <c r="P27" s="122"/>
      <c r="Q27" s="122"/>
    </row>
    <row r="28" spans="1:17" ht="12.75" customHeight="1">
      <c r="A28" s="4">
        <v>2019</v>
      </c>
      <c r="B28" s="15">
        <f>+C28*0.45</f>
        <v>18</v>
      </c>
      <c r="C28" s="128">
        <v>40</v>
      </c>
      <c r="D28" s="119">
        <v>2</v>
      </c>
      <c r="E28" s="128"/>
      <c r="F28" s="15">
        <v>10053.949999999999</v>
      </c>
      <c r="G28" s="15">
        <v>22343</v>
      </c>
      <c r="H28" s="120">
        <v>1776</v>
      </c>
      <c r="I28" s="151"/>
      <c r="J28" s="151"/>
      <c r="K28" s="151"/>
      <c r="L28" s="151"/>
      <c r="M28" s="249"/>
      <c r="N28" s="249"/>
      <c r="O28" s="151"/>
      <c r="P28" s="122"/>
      <c r="Q28" s="122"/>
    </row>
    <row r="29" spans="2:11" ht="11.25">
      <c r="B29" s="249"/>
      <c r="C29" s="249"/>
      <c r="D29" s="249"/>
      <c r="E29" s="249"/>
      <c r="F29" s="151"/>
      <c r="G29" s="151"/>
      <c r="H29" s="151"/>
      <c r="I29" s="122"/>
      <c r="J29" s="122"/>
      <c r="K29" s="122"/>
    </row>
    <row r="30" spans="1:8" ht="11.25">
      <c r="A30" s="210" t="s">
        <v>12</v>
      </c>
      <c r="B30" s="210"/>
      <c r="C30" s="210"/>
      <c r="D30" s="210"/>
      <c r="E30" s="210"/>
      <c r="F30" s="210"/>
      <c r="G30" s="210"/>
      <c r="H30" s="210"/>
    </row>
    <row r="31" spans="1:8" ht="11.25">
      <c r="A31" s="221" t="s">
        <v>211</v>
      </c>
      <c r="B31" s="211"/>
      <c r="C31" s="211"/>
      <c r="D31" s="211"/>
      <c r="E31" s="211"/>
      <c r="F31" s="211"/>
      <c r="G31" s="211"/>
      <c r="H31" s="211"/>
    </row>
    <row r="32" spans="1:9" ht="11.25">
      <c r="A32" s="221" t="s">
        <v>131</v>
      </c>
      <c r="B32" s="221"/>
      <c r="C32" s="221"/>
      <c r="D32" s="221"/>
      <c r="E32" s="221"/>
      <c r="F32" s="221"/>
      <c r="G32" s="221"/>
      <c r="H32" s="221"/>
      <c r="I32" s="221"/>
    </row>
    <row r="33" spans="1:8" ht="11.25">
      <c r="A33" s="221" t="s">
        <v>189</v>
      </c>
      <c r="B33" s="221"/>
      <c r="C33" s="221"/>
      <c r="D33" s="221"/>
      <c r="E33" s="221"/>
      <c r="F33" s="221"/>
      <c r="G33" s="221"/>
      <c r="H33" s="221"/>
    </row>
    <row r="34" spans="1:9" ht="26.25" customHeight="1">
      <c r="A34" s="226" t="s">
        <v>202</v>
      </c>
      <c r="B34" s="226"/>
      <c r="C34" s="226"/>
      <c r="D34" s="226"/>
      <c r="E34" s="226"/>
      <c r="F34" s="226"/>
      <c r="G34" s="226"/>
      <c r="H34" s="226"/>
      <c r="I34" s="226"/>
    </row>
    <row r="35" spans="1:8" ht="11.25">
      <c r="A35" s="221"/>
      <c r="B35" s="221"/>
      <c r="C35" s="221"/>
      <c r="D35" s="221"/>
      <c r="E35" s="221"/>
      <c r="F35" s="221"/>
      <c r="G35" s="221"/>
      <c r="H35" s="221"/>
    </row>
    <row r="38" ht="11.25">
      <c r="F38" s="122"/>
    </row>
  </sheetData>
  <sheetProtection/>
  <mergeCells count="10">
    <mergeCell ref="A32:I32"/>
    <mergeCell ref="A33:H33"/>
    <mergeCell ref="A34:I34"/>
    <mergeCell ref="A35:H35"/>
    <mergeCell ref="A1:H1"/>
    <mergeCell ref="A3:A5"/>
    <mergeCell ref="B3:D3"/>
    <mergeCell ref="F3:H3"/>
    <mergeCell ref="A30:H30"/>
    <mergeCell ref="A31:H31"/>
  </mergeCells>
  <printOptions/>
  <pageMargins left="0.787401575" right="0.787401575" top="0.984251969" bottom="0.984251969" header="0.511811023" footer="0.511811023"/>
  <pageSetup horizontalDpi="300" verticalDpi="300" orientation="portrait" paperSize="9" r:id="rId2"/>
  <headerFooter alignWithMargins="0">
    <oddFooter>&amp;CSeite &amp;P</oddFooter>
  </headerFooter>
  <drawing r:id="rId1"/>
</worksheet>
</file>

<file path=xl/worksheets/sheet13.xml><?xml version="1.0" encoding="utf-8"?>
<worksheet xmlns="http://schemas.openxmlformats.org/spreadsheetml/2006/main" xmlns:r="http://schemas.openxmlformats.org/officeDocument/2006/relationships">
  <sheetPr>
    <tabColor rgb="FF92D050"/>
  </sheetPr>
  <dimension ref="A1:E48"/>
  <sheetViews>
    <sheetView showGridLines="0" zoomScale="115" zoomScaleNormal="115" zoomScalePageLayoutView="0" workbookViewId="0" topLeftCell="A1">
      <selection activeCell="I11" sqref="I11"/>
    </sheetView>
  </sheetViews>
  <sheetFormatPr defaultColWidth="10.28125" defaultRowHeight="12.75"/>
  <cols>
    <col min="1" max="1" width="27.28125" style="10" customWidth="1"/>
    <col min="2" max="2" width="10.7109375" style="9" bestFit="1" customWidth="1"/>
    <col min="3" max="5" width="23.28125" style="9" customWidth="1"/>
    <col min="6" max="16384" width="10.28125" style="9" customWidth="1"/>
  </cols>
  <sheetData>
    <row r="1" spans="1:5" ht="12.75">
      <c r="A1" s="202" t="s">
        <v>106</v>
      </c>
      <c r="B1" s="202"/>
      <c r="C1" s="202"/>
      <c r="D1" s="202"/>
      <c r="E1" s="202"/>
    </row>
    <row r="2" ht="11.25">
      <c r="E2" s="99" t="s">
        <v>96</v>
      </c>
    </row>
    <row r="3" spans="1:5" s="38" customFormat="1" ht="20.25" customHeight="1">
      <c r="A3" s="232" t="s">
        <v>0</v>
      </c>
      <c r="B3" s="231" t="s">
        <v>107</v>
      </c>
      <c r="C3" s="231"/>
      <c r="D3" s="231"/>
      <c r="E3" s="231"/>
    </row>
    <row r="4" spans="1:5" s="52" customFormat="1" ht="13.5" customHeight="1">
      <c r="A4" s="232"/>
      <c r="B4" s="145" t="s">
        <v>119</v>
      </c>
      <c r="C4" s="144" t="s">
        <v>120</v>
      </c>
      <c r="D4" s="144" t="s">
        <v>121</v>
      </c>
      <c r="E4" s="144" t="s">
        <v>122</v>
      </c>
    </row>
    <row r="5" spans="1:5" s="5" customFormat="1" ht="18" customHeight="1">
      <c r="A5" s="8" t="s">
        <v>68</v>
      </c>
      <c r="B5" s="55"/>
      <c r="C5" s="77" t="s">
        <v>174</v>
      </c>
      <c r="D5" s="55"/>
      <c r="E5" s="55"/>
    </row>
    <row r="6" spans="1:5" s="5" customFormat="1" ht="12.75" customHeight="1">
      <c r="A6" s="4">
        <v>1997</v>
      </c>
      <c r="B6" s="55">
        <v>34.66</v>
      </c>
      <c r="C6" s="55">
        <v>33.31</v>
      </c>
      <c r="D6" s="55">
        <v>32.36</v>
      </c>
      <c r="E6" s="55">
        <v>31.4</v>
      </c>
    </row>
    <row r="7" spans="1:5" s="5" customFormat="1" ht="12.75" customHeight="1">
      <c r="A7" s="4">
        <v>1998</v>
      </c>
      <c r="B7" s="55">
        <v>27.37</v>
      </c>
      <c r="C7" s="55">
        <v>25.96</v>
      </c>
      <c r="D7" s="55">
        <v>25.01</v>
      </c>
      <c r="E7" s="55">
        <v>24.06</v>
      </c>
    </row>
    <row r="8" spans="1:5" s="5" customFormat="1" ht="12.75" customHeight="1">
      <c r="A8" s="4">
        <v>1999</v>
      </c>
      <c r="B8" s="55">
        <v>30.73</v>
      </c>
      <c r="C8" s="55">
        <v>29.31</v>
      </c>
      <c r="D8" s="55">
        <v>28.28</v>
      </c>
      <c r="E8" s="55">
        <v>27.4</v>
      </c>
    </row>
    <row r="9" spans="1:5" s="5" customFormat="1" ht="18" customHeight="1">
      <c r="A9" s="4">
        <v>2000</v>
      </c>
      <c r="B9" s="55">
        <v>50.79</v>
      </c>
      <c r="C9" s="55">
        <v>49.34</v>
      </c>
      <c r="D9" s="55">
        <v>48.32</v>
      </c>
      <c r="E9" s="55">
        <v>47.44</v>
      </c>
    </row>
    <row r="10" spans="1:5" s="5" customFormat="1" ht="12.75" customHeight="1">
      <c r="A10" s="4">
        <v>2001</v>
      </c>
      <c r="B10" s="55">
        <v>47.03</v>
      </c>
      <c r="C10" s="55">
        <v>45.54</v>
      </c>
      <c r="D10" s="55">
        <v>44.3</v>
      </c>
      <c r="E10" s="55">
        <v>43.42</v>
      </c>
    </row>
    <row r="11" spans="1:5" s="5" customFormat="1" ht="12.75" customHeight="1">
      <c r="A11" s="4">
        <v>2002</v>
      </c>
      <c r="B11" s="55">
        <v>40.87</v>
      </c>
      <c r="C11" s="55">
        <v>39.77</v>
      </c>
      <c r="D11" s="55">
        <v>38.47</v>
      </c>
      <c r="E11" s="55">
        <v>37.8</v>
      </c>
    </row>
    <row r="12" spans="1:5" s="5" customFormat="1" ht="12.75" customHeight="1">
      <c r="A12" s="4">
        <v>2003</v>
      </c>
      <c r="B12" s="55">
        <v>43.92</v>
      </c>
      <c r="C12" s="55">
        <v>42.8</v>
      </c>
      <c r="D12" s="55">
        <v>41.72</v>
      </c>
      <c r="E12" s="55">
        <v>40.87</v>
      </c>
    </row>
    <row r="13" spans="1:5" s="5" customFormat="1" ht="12.75" customHeight="1">
      <c r="A13" s="4">
        <v>2004</v>
      </c>
      <c r="B13" s="55">
        <v>50.45</v>
      </c>
      <c r="C13" s="55">
        <v>48.99</v>
      </c>
      <c r="D13" s="55">
        <v>48.03</v>
      </c>
      <c r="E13" s="55">
        <v>47.17</v>
      </c>
    </row>
    <row r="14" spans="1:5" s="5" customFormat="1" ht="18" customHeight="1">
      <c r="A14" s="4">
        <v>2005</v>
      </c>
      <c r="B14" s="55">
        <v>70.135</v>
      </c>
      <c r="C14" s="55">
        <v>68.7725</v>
      </c>
      <c r="D14" s="55">
        <v>67.72666666666667</v>
      </c>
      <c r="E14" s="55">
        <v>66.81666666666668</v>
      </c>
    </row>
    <row r="15" spans="1:5" s="5" customFormat="1" ht="12.75" customHeight="1">
      <c r="A15" s="4">
        <v>2006</v>
      </c>
      <c r="B15" s="55">
        <v>79.05916666666666</v>
      </c>
      <c r="C15" s="55">
        <v>77.87583333333335</v>
      </c>
      <c r="D15" s="55">
        <v>76.8275</v>
      </c>
      <c r="E15" s="55">
        <v>75.82166666666667</v>
      </c>
    </row>
    <row r="16" spans="1:5" s="5" customFormat="1" ht="12.75" customHeight="1">
      <c r="A16" s="4">
        <v>2007</v>
      </c>
      <c r="B16" s="55">
        <v>80.63666666666667</v>
      </c>
      <c r="C16" s="55">
        <v>79.24916666666667</v>
      </c>
      <c r="D16" s="55">
        <v>78.3275</v>
      </c>
      <c r="E16" s="55">
        <v>77.24608333333333</v>
      </c>
    </row>
    <row r="17" spans="1:5" s="5" customFormat="1" ht="12.75" customHeight="1">
      <c r="A17" s="4">
        <v>2008</v>
      </c>
      <c r="B17" s="55">
        <v>109.59333333333332</v>
      </c>
      <c r="C17" s="55">
        <v>108.215</v>
      </c>
      <c r="D17" s="55">
        <v>107.14916666666666</v>
      </c>
      <c r="E17" s="55">
        <v>105.9275</v>
      </c>
    </row>
    <row r="18" spans="1:5" s="5" customFormat="1" ht="12.75" customHeight="1">
      <c r="A18" s="76">
        <v>2009</v>
      </c>
      <c r="B18" s="82">
        <v>68.895</v>
      </c>
      <c r="C18" s="82">
        <v>67.4475</v>
      </c>
      <c r="D18" s="82">
        <v>66.38583333333334</v>
      </c>
      <c r="E18" s="82">
        <v>65.1775</v>
      </c>
    </row>
    <row r="19" spans="1:5" s="5" customFormat="1" ht="12.75" customHeight="1">
      <c r="A19" s="76">
        <v>2010</v>
      </c>
      <c r="B19" s="82">
        <v>85.4125</v>
      </c>
      <c r="C19" s="82">
        <v>84.00083333333335</v>
      </c>
      <c r="D19" s="82">
        <v>82.97416666666668</v>
      </c>
      <c r="E19" s="82">
        <v>81.94083333333333</v>
      </c>
    </row>
    <row r="20" spans="1:5" s="5" customFormat="1" ht="12.75" customHeight="1">
      <c r="A20" s="76">
        <v>2011</v>
      </c>
      <c r="B20" s="82">
        <v>98.03333333333335</v>
      </c>
      <c r="C20" s="82">
        <v>96.745</v>
      </c>
      <c r="D20" s="82">
        <v>95.70833333333336</v>
      </c>
      <c r="E20" s="82">
        <v>94.66416666666667</v>
      </c>
    </row>
    <row r="21" spans="1:5" s="5" customFormat="1" ht="12.75" customHeight="1">
      <c r="A21" s="76">
        <v>2012</v>
      </c>
      <c r="B21" s="82">
        <v>103.89833333333331</v>
      </c>
      <c r="C21" s="82">
        <v>102.75333333333333</v>
      </c>
      <c r="D21" s="82">
        <v>101.64166666666665</v>
      </c>
      <c r="E21" s="82">
        <v>100.71750000000002</v>
      </c>
    </row>
    <row r="22" spans="1:5" s="5" customFormat="1" ht="12.75" customHeight="1">
      <c r="A22" s="76">
        <v>2013</v>
      </c>
      <c r="B22" s="82">
        <v>100.45500000000003</v>
      </c>
      <c r="C22" s="82">
        <v>99.25333333333333</v>
      </c>
      <c r="D22" s="82">
        <v>98.03500000000001</v>
      </c>
      <c r="E22" s="82">
        <v>97.14583333333333</v>
      </c>
    </row>
    <row r="23" spans="1:5" s="5" customFormat="1" ht="12.75" customHeight="1">
      <c r="A23" s="76">
        <v>2014</v>
      </c>
      <c r="B23" s="82">
        <v>99.00083333333335</v>
      </c>
      <c r="C23" s="82">
        <v>97.82666666666667</v>
      </c>
      <c r="D23" s="82">
        <v>96.59416666666665</v>
      </c>
      <c r="E23" s="82">
        <v>95.75025</v>
      </c>
    </row>
    <row r="24" spans="1:5" s="5" customFormat="1" ht="12.75" customHeight="1">
      <c r="A24" s="76">
        <v>2015</v>
      </c>
      <c r="B24" s="82">
        <v>74.21833333333335</v>
      </c>
      <c r="C24" s="82">
        <v>73.06333333333335</v>
      </c>
      <c r="D24" s="82">
        <v>71.88250000000001</v>
      </c>
      <c r="E24" s="82">
        <v>71.075</v>
      </c>
    </row>
    <row r="25" spans="1:5" s="5" customFormat="1" ht="12.75" customHeight="1">
      <c r="A25" s="76">
        <v>2016</v>
      </c>
      <c r="B25" s="82">
        <v>69.9716666666666</v>
      </c>
      <c r="C25" s="82">
        <v>68.95666666666666</v>
      </c>
      <c r="D25" s="82">
        <v>67.62833333333332</v>
      </c>
      <c r="E25" s="82">
        <v>66.87083333333332</v>
      </c>
    </row>
    <row r="26" spans="1:5" s="5" customFormat="1" ht="12.75" customHeight="1">
      <c r="A26" s="76">
        <v>2017</v>
      </c>
      <c r="B26" s="82">
        <v>78.92333333333333</v>
      </c>
      <c r="C26" s="82">
        <v>77.88666666666666</v>
      </c>
      <c r="D26" s="82">
        <v>76.48833333333333</v>
      </c>
      <c r="E26" s="82">
        <v>75.80833333333332</v>
      </c>
    </row>
    <row r="27" spans="1:5" s="5" customFormat="1" ht="12.75" customHeight="1">
      <c r="A27" s="76">
        <v>2018</v>
      </c>
      <c r="B27" s="82">
        <v>95.51833333333333</v>
      </c>
      <c r="C27" s="82">
        <v>94.45666666666666</v>
      </c>
      <c r="D27" s="82">
        <v>92.99666666666667</v>
      </c>
      <c r="E27" s="82">
        <v>92.31416666666667</v>
      </c>
    </row>
    <row r="28" spans="1:5" s="5" customFormat="1" ht="12.75" customHeight="1">
      <c r="A28" s="76">
        <v>2019</v>
      </c>
      <c r="B28" s="82">
        <f>SUM(B31:B42)/12</f>
        <v>90.52833333333335</v>
      </c>
      <c r="C28" s="82">
        <f>SUM(C31:C42)/12</f>
        <v>89.505</v>
      </c>
      <c r="D28" s="82">
        <f>SUM(D31:D42)/12</f>
        <v>88.10916666666668</v>
      </c>
      <c r="E28" s="82">
        <f>SUM(E31:E42)/12</f>
        <v>87.3825</v>
      </c>
    </row>
    <row r="29" spans="1:5" s="5" customFormat="1" ht="12.75" customHeight="1">
      <c r="A29" s="33"/>
      <c r="B29" s="55"/>
      <c r="C29" s="55"/>
      <c r="D29" s="55"/>
      <c r="E29" s="55"/>
    </row>
    <row r="30" spans="1:5" s="5" customFormat="1" ht="11.25">
      <c r="A30" s="84" t="s">
        <v>198</v>
      </c>
      <c r="B30" s="55"/>
      <c r="C30" s="77" t="s">
        <v>174</v>
      </c>
      <c r="D30" s="55"/>
      <c r="E30" s="55"/>
    </row>
    <row r="31" spans="1:5" s="5" customFormat="1" ht="12.75" customHeight="1">
      <c r="A31" s="4" t="s">
        <v>24</v>
      </c>
      <c r="B31" s="193">
        <v>86.05</v>
      </c>
      <c r="C31" s="193">
        <v>84.94</v>
      </c>
      <c r="D31" s="193">
        <v>83.35</v>
      </c>
      <c r="E31" s="193">
        <v>82.66</v>
      </c>
    </row>
    <row r="32" spans="1:5" s="5" customFormat="1" ht="12.75" customHeight="1">
      <c r="A32" s="4" t="s">
        <v>25</v>
      </c>
      <c r="B32" s="193">
        <v>91.37</v>
      </c>
      <c r="C32" s="193">
        <v>90.34</v>
      </c>
      <c r="D32" s="193">
        <v>88.96</v>
      </c>
      <c r="E32" s="193">
        <v>88.22</v>
      </c>
    </row>
    <row r="33" spans="1:5" s="5" customFormat="1" ht="12.75" customHeight="1">
      <c r="A33" s="4" t="s">
        <v>26</v>
      </c>
      <c r="B33" s="193">
        <v>93.36</v>
      </c>
      <c r="C33" s="193">
        <v>92.38</v>
      </c>
      <c r="D33" s="193">
        <v>91.09</v>
      </c>
      <c r="E33" s="193">
        <v>90.35</v>
      </c>
    </row>
    <row r="34" spans="1:5" s="5" customFormat="1" ht="12.75" customHeight="1">
      <c r="A34" s="4" t="s">
        <v>27</v>
      </c>
      <c r="B34" s="193">
        <v>92.72</v>
      </c>
      <c r="C34" s="193">
        <v>91.71</v>
      </c>
      <c r="D34" s="193">
        <v>90.42</v>
      </c>
      <c r="E34" s="193">
        <v>89.69</v>
      </c>
    </row>
    <row r="35" spans="1:5" s="5" customFormat="1" ht="12.75" customHeight="1">
      <c r="A35" s="4" t="s">
        <v>28</v>
      </c>
      <c r="B35" s="193">
        <v>95.75</v>
      </c>
      <c r="C35" s="193">
        <v>94.75</v>
      </c>
      <c r="D35" s="193">
        <v>93.42</v>
      </c>
      <c r="E35" s="193">
        <v>92.68</v>
      </c>
    </row>
    <row r="36" spans="1:5" s="5" customFormat="1" ht="12.75" customHeight="1">
      <c r="A36" s="4" t="s">
        <v>29</v>
      </c>
      <c r="B36" s="193">
        <v>87.79</v>
      </c>
      <c r="C36" s="193">
        <v>86.74</v>
      </c>
      <c r="D36" s="193">
        <v>85.34</v>
      </c>
      <c r="E36" s="193">
        <v>84.61</v>
      </c>
    </row>
    <row r="37" spans="1:5" s="5" customFormat="1" ht="12.75" customHeight="1">
      <c r="A37" s="4" t="s">
        <v>30</v>
      </c>
      <c r="B37" s="193">
        <v>91.32</v>
      </c>
      <c r="C37" s="193">
        <v>90.32</v>
      </c>
      <c r="D37" s="193">
        <v>88.99</v>
      </c>
      <c r="E37" s="193">
        <v>88.27</v>
      </c>
    </row>
    <row r="38" spans="1:5" s="5" customFormat="1" ht="12.75" customHeight="1">
      <c r="A38" s="4" t="s">
        <v>31</v>
      </c>
      <c r="B38" s="193">
        <v>89.2</v>
      </c>
      <c r="C38" s="193">
        <v>88.18</v>
      </c>
      <c r="D38" s="193">
        <v>86.7</v>
      </c>
      <c r="E38" s="193">
        <v>85.97</v>
      </c>
    </row>
    <row r="39" spans="1:5" s="5" customFormat="1" ht="12.75" customHeight="1">
      <c r="A39" s="4" t="s">
        <v>34</v>
      </c>
      <c r="B39" s="193">
        <v>91.33</v>
      </c>
      <c r="C39" s="193">
        <v>90.34</v>
      </c>
      <c r="D39" s="193">
        <v>88.81</v>
      </c>
      <c r="E39" s="193">
        <v>88.08</v>
      </c>
    </row>
    <row r="40" spans="1:5" s="5" customFormat="1" ht="12.75" customHeight="1">
      <c r="A40" s="4" t="s">
        <v>35</v>
      </c>
      <c r="B40" s="193">
        <v>90.23</v>
      </c>
      <c r="C40" s="193">
        <v>89.18</v>
      </c>
      <c r="D40" s="193">
        <v>87.6</v>
      </c>
      <c r="E40" s="193">
        <v>86.88</v>
      </c>
    </row>
    <row r="41" spans="1:5" s="5" customFormat="1" ht="12.75" customHeight="1">
      <c r="A41" s="4" t="s">
        <v>36</v>
      </c>
      <c r="B41" s="193">
        <v>88.07</v>
      </c>
      <c r="C41" s="193">
        <v>87.08</v>
      </c>
      <c r="D41" s="193">
        <v>85.81</v>
      </c>
      <c r="E41" s="193">
        <v>85.07</v>
      </c>
    </row>
    <row r="42" spans="1:5" s="5" customFormat="1" ht="12.75" customHeight="1">
      <c r="A42" s="4" t="s">
        <v>37</v>
      </c>
      <c r="B42" s="193">
        <v>89.15</v>
      </c>
      <c r="C42" s="193">
        <v>88.1</v>
      </c>
      <c r="D42" s="193">
        <v>86.82</v>
      </c>
      <c r="E42" s="193">
        <v>86.11</v>
      </c>
    </row>
    <row r="43" spans="2:5" ht="11.25">
      <c r="B43" s="83"/>
      <c r="C43" s="83"/>
      <c r="D43" s="83"/>
      <c r="E43" s="83"/>
    </row>
    <row r="44" spans="2:5" ht="11.25">
      <c r="B44" s="83"/>
      <c r="C44" s="83"/>
      <c r="D44" s="230" t="s">
        <v>38</v>
      </c>
      <c r="E44" s="230"/>
    </row>
    <row r="45" spans="2:5" ht="11.25">
      <c r="B45" s="83"/>
      <c r="C45" s="83"/>
      <c r="D45" s="83"/>
      <c r="E45" s="83"/>
    </row>
    <row r="46" spans="1:3" ht="11.25">
      <c r="A46" s="210" t="s">
        <v>12</v>
      </c>
      <c r="B46" s="210"/>
      <c r="C46" s="210"/>
    </row>
    <row r="47" spans="1:5" ht="11.25">
      <c r="A47" s="222" t="s">
        <v>62</v>
      </c>
      <c r="B47" s="222"/>
      <c r="C47" s="222"/>
      <c r="D47" s="222"/>
      <c r="E47" s="222"/>
    </row>
    <row r="48" spans="1:3" ht="11.25">
      <c r="A48" s="222" t="s">
        <v>103</v>
      </c>
      <c r="B48" s="222"/>
      <c r="C48" s="222"/>
    </row>
  </sheetData>
  <sheetProtection/>
  <mergeCells count="7">
    <mergeCell ref="A48:C48"/>
    <mergeCell ref="D44:E44"/>
    <mergeCell ref="B3:E3"/>
    <mergeCell ref="A1:E1"/>
    <mergeCell ref="A47:E47"/>
    <mergeCell ref="A3:A4"/>
    <mergeCell ref="A46:C46"/>
  </mergeCells>
  <printOptions/>
  <pageMargins left="0.787401575" right="0.787401575" top="0.984251969" bottom="0.984251969" header="0.511811023" footer="0.511811023"/>
  <pageSetup horizontalDpi="300" verticalDpi="300" orientation="portrait" paperSize="9" scale="80" r:id="rId2"/>
  <headerFooter alignWithMargins="0">
    <oddFooter>&amp;CSeite &amp;P</oddFooter>
  </headerFooter>
  <drawing r:id="rId1"/>
</worksheet>
</file>

<file path=xl/worksheets/sheet14.xml><?xml version="1.0" encoding="utf-8"?>
<worksheet xmlns="http://schemas.openxmlformats.org/spreadsheetml/2006/main" xmlns:r="http://schemas.openxmlformats.org/officeDocument/2006/relationships">
  <sheetPr>
    <tabColor rgb="FF92D050"/>
  </sheetPr>
  <dimension ref="A1:F36"/>
  <sheetViews>
    <sheetView showGridLines="0" zoomScale="130" zoomScaleNormal="130" zoomScalePageLayoutView="0" workbookViewId="0" topLeftCell="A1">
      <selection activeCell="H7" sqref="H7"/>
    </sheetView>
  </sheetViews>
  <sheetFormatPr defaultColWidth="10.28125" defaultRowHeight="12.75"/>
  <cols>
    <col min="1" max="1" width="12.28125" style="10" customWidth="1"/>
    <col min="2" max="2" width="24.8515625" style="9" customWidth="1"/>
    <col min="3" max="3" width="8.00390625" style="9" customWidth="1"/>
    <col min="4" max="6" width="15.8515625" style="9" customWidth="1"/>
    <col min="7" max="16384" width="10.28125" style="9" customWidth="1"/>
  </cols>
  <sheetData>
    <row r="1" spans="1:6" ht="12.75">
      <c r="A1" s="202" t="s">
        <v>194</v>
      </c>
      <c r="B1" s="202"/>
      <c r="C1" s="202"/>
      <c r="D1" s="202"/>
      <c r="E1" s="202"/>
      <c r="F1" s="202"/>
    </row>
    <row r="2" ht="11.25">
      <c r="F2" s="99" t="s">
        <v>97</v>
      </c>
    </row>
    <row r="3" spans="1:6" ht="16.5" customHeight="1">
      <c r="A3" s="225" t="s">
        <v>39</v>
      </c>
      <c r="B3" s="70" t="s">
        <v>40</v>
      </c>
      <c r="C3" s="231" t="s">
        <v>113</v>
      </c>
      <c r="D3" s="231"/>
      <c r="E3" s="231"/>
      <c r="F3" s="231"/>
    </row>
    <row r="4" spans="1:6" ht="17.25" customHeight="1">
      <c r="A4" s="225"/>
      <c r="B4" s="54"/>
      <c r="C4" s="75" t="s">
        <v>67</v>
      </c>
      <c r="D4" s="144" t="s">
        <v>116</v>
      </c>
      <c r="E4" s="144" t="s">
        <v>117</v>
      </c>
      <c r="F4" s="144" t="s">
        <v>118</v>
      </c>
    </row>
    <row r="5" spans="1:6" ht="22.5">
      <c r="A5" s="71" t="s">
        <v>68</v>
      </c>
      <c r="B5" s="71"/>
      <c r="C5" s="71"/>
      <c r="D5" s="71"/>
      <c r="E5" s="71"/>
      <c r="F5" s="71"/>
    </row>
    <row r="6" spans="1:6" s="5" customFormat="1" ht="19.5" customHeight="1">
      <c r="A6" s="33">
        <v>2004</v>
      </c>
      <c r="B6" s="4" t="s">
        <v>41</v>
      </c>
      <c r="C6" s="78">
        <v>8</v>
      </c>
      <c r="D6" s="78">
        <v>4.575</v>
      </c>
      <c r="E6" s="78">
        <v>4.475</v>
      </c>
      <c r="F6" s="78">
        <v>4.375</v>
      </c>
    </row>
    <row r="7" spans="1:6" s="5" customFormat="1" ht="12.75" customHeight="1">
      <c r="A7" s="33"/>
      <c r="B7" s="40" t="s">
        <v>42</v>
      </c>
      <c r="C7" s="79">
        <v>180</v>
      </c>
      <c r="D7" s="79">
        <v>240</v>
      </c>
      <c r="E7" s="79">
        <v>420</v>
      </c>
      <c r="F7" s="79">
        <v>720</v>
      </c>
    </row>
    <row r="8" spans="1:6" s="5" customFormat="1" ht="19.5" customHeight="1">
      <c r="A8" s="33">
        <v>2005</v>
      </c>
      <c r="B8" s="4" t="s">
        <v>41</v>
      </c>
      <c r="C8" s="78">
        <v>8.25</v>
      </c>
      <c r="D8" s="78">
        <v>5.55</v>
      </c>
      <c r="E8" s="78">
        <v>5.45</v>
      </c>
      <c r="F8" s="78">
        <v>5.35</v>
      </c>
    </row>
    <row r="9" spans="1:6" s="5" customFormat="1" ht="12.75" customHeight="1">
      <c r="A9" s="33"/>
      <c r="B9" s="40" t="s">
        <v>42</v>
      </c>
      <c r="C9" s="79">
        <v>180</v>
      </c>
      <c r="D9" s="79">
        <v>240</v>
      </c>
      <c r="E9" s="79">
        <v>420</v>
      </c>
      <c r="F9" s="79">
        <v>720</v>
      </c>
    </row>
    <row r="10" spans="1:6" s="5" customFormat="1" ht="19.5" customHeight="1">
      <c r="A10" s="33">
        <v>2006</v>
      </c>
      <c r="B10" s="4" t="s">
        <v>41</v>
      </c>
      <c r="C10" s="78">
        <v>9</v>
      </c>
      <c r="D10" s="78">
        <v>6.975</v>
      </c>
      <c r="E10" s="78">
        <v>6.875</v>
      </c>
      <c r="F10" s="78">
        <v>6.775</v>
      </c>
    </row>
    <row r="11" spans="1:6" s="5" customFormat="1" ht="12.75" customHeight="1">
      <c r="A11" s="33"/>
      <c r="B11" s="40" t="s">
        <v>42</v>
      </c>
      <c r="C11" s="79">
        <v>180</v>
      </c>
      <c r="D11" s="79">
        <v>240</v>
      </c>
      <c r="E11" s="79">
        <v>420</v>
      </c>
      <c r="F11" s="79">
        <v>720</v>
      </c>
    </row>
    <row r="12" spans="1:6" s="5" customFormat="1" ht="19.5" customHeight="1">
      <c r="A12" s="33">
        <v>2007</v>
      </c>
      <c r="B12" s="4" t="s">
        <v>41</v>
      </c>
      <c r="C12" s="78">
        <v>9</v>
      </c>
      <c r="D12" s="78">
        <v>7.025</v>
      </c>
      <c r="E12" s="78">
        <v>6.925</v>
      </c>
      <c r="F12" s="78">
        <v>6.825</v>
      </c>
    </row>
    <row r="13" spans="1:6" s="5" customFormat="1" ht="12.75" customHeight="1">
      <c r="A13" s="33"/>
      <c r="B13" s="40" t="s">
        <v>42</v>
      </c>
      <c r="C13" s="79">
        <v>180</v>
      </c>
      <c r="D13" s="79">
        <v>240</v>
      </c>
      <c r="E13" s="79">
        <v>420</v>
      </c>
      <c r="F13" s="79">
        <v>720</v>
      </c>
    </row>
    <row r="14" spans="1:6" s="5" customFormat="1" ht="19.5" customHeight="1">
      <c r="A14" s="33">
        <v>2008</v>
      </c>
      <c r="B14" s="4" t="s">
        <v>41</v>
      </c>
      <c r="C14" s="78">
        <v>10.75</v>
      </c>
      <c r="D14" s="78">
        <v>8.95</v>
      </c>
      <c r="E14" s="78">
        <v>8.85</v>
      </c>
      <c r="F14" s="78">
        <v>8.75</v>
      </c>
    </row>
    <row r="15" spans="1:6" s="5" customFormat="1" ht="12.75" customHeight="1">
      <c r="A15" s="33"/>
      <c r="B15" s="40" t="s">
        <v>42</v>
      </c>
      <c r="C15" s="79">
        <v>180</v>
      </c>
      <c r="D15" s="79">
        <v>240</v>
      </c>
      <c r="E15" s="79">
        <v>420</v>
      </c>
      <c r="F15" s="79">
        <v>720</v>
      </c>
    </row>
    <row r="16" spans="1:6" s="5" customFormat="1" ht="19.5" customHeight="1">
      <c r="A16" s="33">
        <v>2009</v>
      </c>
      <c r="B16" s="4" t="s">
        <v>41</v>
      </c>
      <c r="C16" s="80">
        <v>8.85</v>
      </c>
      <c r="D16" s="80">
        <v>7.05</v>
      </c>
      <c r="E16" s="80">
        <v>6.95</v>
      </c>
      <c r="F16" s="80">
        <v>6.85</v>
      </c>
    </row>
    <row r="17" spans="1:6" s="5" customFormat="1" ht="12.75" customHeight="1">
      <c r="A17" s="33"/>
      <c r="B17" s="40" t="s">
        <v>42</v>
      </c>
      <c r="C17" s="81">
        <v>180</v>
      </c>
      <c r="D17" s="81">
        <v>240</v>
      </c>
      <c r="E17" s="81">
        <v>420</v>
      </c>
      <c r="F17" s="81">
        <v>720</v>
      </c>
    </row>
    <row r="18" spans="1:6" s="5" customFormat="1" ht="19.5" customHeight="1">
      <c r="A18" s="33">
        <v>2010</v>
      </c>
      <c r="B18" s="4" t="s">
        <v>41</v>
      </c>
      <c r="C18" s="80">
        <v>8.925</v>
      </c>
      <c r="D18" s="80">
        <v>7.125</v>
      </c>
      <c r="E18" s="80">
        <v>7.025</v>
      </c>
      <c r="F18" s="80">
        <v>6.925</v>
      </c>
    </row>
    <row r="19" spans="1:6" s="5" customFormat="1" ht="12.75" customHeight="1">
      <c r="A19" s="33"/>
      <c r="B19" s="40" t="s">
        <v>42</v>
      </c>
      <c r="C19" s="81">
        <v>180</v>
      </c>
      <c r="D19" s="81">
        <v>240</v>
      </c>
      <c r="E19" s="81">
        <v>420</v>
      </c>
      <c r="F19" s="81">
        <v>720</v>
      </c>
    </row>
    <row r="20" spans="1:6" s="109" customFormat="1" ht="19.5" customHeight="1">
      <c r="A20" s="108">
        <v>2011</v>
      </c>
      <c r="B20" s="76" t="s">
        <v>41</v>
      </c>
      <c r="C20" s="80">
        <v>10.025</v>
      </c>
      <c r="D20" s="80">
        <v>8.225</v>
      </c>
      <c r="E20" s="80">
        <v>8.125</v>
      </c>
      <c r="F20" s="80">
        <v>8.025</v>
      </c>
    </row>
    <row r="21" spans="1:6" s="109" customFormat="1" ht="12.75" customHeight="1">
      <c r="A21" s="108"/>
      <c r="B21" s="110" t="s">
        <v>42</v>
      </c>
      <c r="C21" s="81">
        <v>180</v>
      </c>
      <c r="D21" s="81">
        <v>240</v>
      </c>
      <c r="E21" s="81">
        <v>420</v>
      </c>
      <c r="F21" s="81">
        <v>720</v>
      </c>
    </row>
    <row r="22" spans="1:6" s="109" customFormat="1" ht="19.5" customHeight="1">
      <c r="A22" s="108">
        <v>2012</v>
      </c>
      <c r="B22" s="76" t="s">
        <v>41</v>
      </c>
      <c r="C22" s="80">
        <v>9.2</v>
      </c>
      <c r="D22" s="80">
        <v>7.3500000000000005</v>
      </c>
      <c r="E22" s="80">
        <v>7.25</v>
      </c>
      <c r="F22" s="80">
        <v>7.15</v>
      </c>
    </row>
    <row r="23" spans="1:6" s="109" customFormat="1" ht="12.75" customHeight="1">
      <c r="A23" s="108"/>
      <c r="B23" s="110" t="s">
        <v>42</v>
      </c>
      <c r="C23" s="81">
        <v>180</v>
      </c>
      <c r="D23" s="81">
        <v>240</v>
      </c>
      <c r="E23" s="81">
        <v>420</v>
      </c>
      <c r="F23" s="81">
        <v>720</v>
      </c>
    </row>
    <row r="24" spans="1:6" s="109" customFormat="1" ht="19.5" customHeight="1">
      <c r="A24" s="108">
        <v>2013</v>
      </c>
      <c r="B24" s="76" t="s">
        <v>41</v>
      </c>
      <c r="C24" s="80">
        <v>7.45</v>
      </c>
      <c r="D24" s="80">
        <v>7.3500000000000005</v>
      </c>
      <c r="E24" s="80">
        <v>7.25</v>
      </c>
      <c r="F24" s="80">
        <v>7.15</v>
      </c>
    </row>
    <row r="25" spans="1:6" s="109" customFormat="1" ht="12.75" customHeight="1">
      <c r="A25" s="108"/>
      <c r="B25" s="110" t="s">
        <v>42</v>
      </c>
      <c r="C25" s="81">
        <v>180</v>
      </c>
      <c r="D25" s="81">
        <v>240</v>
      </c>
      <c r="E25" s="81">
        <v>420</v>
      </c>
      <c r="F25" s="81">
        <v>720</v>
      </c>
    </row>
    <row r="26" spans="1:6" s="109" customFormat="1" ht="19.5" customHeight="1">
      <c r="A26" s="108">
        <v>2014</v>
      </c>
      <c r="B26" s="76" t="s">
        <v>41</v>
      </c>
      <c r="C26" s="80">
        <v>7.3</v>
      </c>
      <c r="D26" s="80">
        <v>7.2</v>
      </c>
      <c r="E26" s="80">
        <v>7.1</v>
      </c>
      <c r="F26" s="80">
        <v>7</v>
      </c>
    </row>
    <row r="27" spans="1:6" s="109" customFormat="1" ht="12.75" customHeight="1">
      <c r="A27" s="108"/>
      <c r="B27" s="110" t="s">
        <v>42</v>
      </c>
      <c r="C27" s="81">
        <v>180</v>
      </c>
      <c r="D27" s="81">
        <v>240</v>
      </c>
      <c r="E27" s="81">
        <v>420</v>
      </c>
      <c r="F27" s="81">
        <v>720</v>
      </c>
    </row>
    <row r="28" spans="1:6" s="5" customFormat="1" ht="12.75" customHeight="1">
      <c r="A28" s="33"/>
      <c r="B28" s="55"/>
      <c r="C28" s="56"/>
      <c r="D28" s="56"/>
      <c r="E28" s="56"/>
      <c r="F28" s="56"/>
    </row>
    <row r="29" spans="1:6" s="5" customFormat="1" ht="12.75" customHeight="1">
      <c r="A29" s="33"/>
      <c r="B29" s="55"/>
      <c r="C29" s="230" t="s">
        <v>43</v>
      </c>
      <c r="D29" s="230"/>
      <c r="E29" s="230"/>
      <c r="F29" s="230"/>
    </row>
    <row r="30" spans="1:6" s="5" customFormat="1" ht="12.75" customHeight="1">
      <c r="A30" s="33"/>
      <c r="B30" s="55"/>
      <c r="C30" s="56"/>
      <c r="D30" s="56"/>
      <c r="E30" s="56"/>
      <c r="F30" s="56"/>
    </row>
    <row r="31" spans="1:2" ht="11.25">
      <c r="A31" s="210" t="s">
        <v>12</v>
      </c>
      <c r="B31" s="210"/>
    </row>
    <row r="32" spans="1:6" ht="11.25">
      <c r="A32" s="211" t="s">
        <v>44</v>
      </c>
      <c r="B32" s="211"/>
      <c r="C32" s="211"/>
      <c r="D32" s="211"/>
      <c r="E32" s="211"/>
      <c r="F32" s="211"/>
    </row>
    <row r="33" spans="1:6" ht="11.25">
      <c r="A33" s="221" t="s">
        <v>101</v>
      </c>
      <c r="B33" s="221"/>
      <c r="C33" s="221"/>
      <c r="D33" s="221"/>
      <c r="E33" s="221"/>
      <c r="F33" s="221"/>
    </row>
    <row r="34" spans="1:6" ht="11.25">
      <c r="A34" s="221" t="s">
        <v>163</v>
      </c>
      <c r="B34" s="221"/>
      <c r="C34" s="221"/>
      <c r="D34" s="221"/>
      <c r="E34" s="221"/>
      <c r="F34" s="221"/>
    </row>
    <row r="35" spans="1:6" ht="11.25">
      <c r="A35" s="221" t="s">
        <v>147</v>
      </c>
      <c r="B35" s="221"/>
      <c r="C35" s="221"/>
      <c r="D35" s="221"/>
      <c r="E35" s="221"/>
      <c r="F35" s="221"/>
    </row>
    <row r="36" spans="1:6" ht="11.25">
      <c r="A36" s="221" t="s">
        <v>114</v>
      </c>
      <c r="B36" s="221"/>
      <c r="C36" s="221"/>
      <c r="D36" s="221"/>
      <c r="E36" s="221"/>
      <c r="F36" s="221"/>
    </row>
  </sheetData>
  <sheetProtection/>
  <mergeCells count="10">
    <mergeCell ref="A36:F36"/>
    <mergeCell ref="A35:F35"/>
    <mergeCell ref="C29:F29"/>
    <mergeCell ref="C3:F3"/>
    <mergeCell ref="A1:F1"/>
    <mergeCell ref="A3:A4"/>
    <mergeCell ref="A32:F32"/>
    <mergeCell ref="A33:F33"/>
    <mergeCell ref="A31:B31"/>
    <mergeCell ref="A34:F34"/>
  </mergeCells>
  <printOptions/>
  <pageMargins left="0.787401575" right="0.787401575" top="0.984251969" bottom="0.984251969" header="0.511811023" footer="0.511811023"/>
  <pageSetup horizontalDpi="600" verticalDpi="600" orientation="portrait" paperSize="9" scale="93" r:id="rId2"/>
  <headerFooter alignWithMargins="0">
    <oddFooter>&amp;CSeite &amp;P</oddFooter>
  </headerFooter>
  <drawing r:id="rId1"/>
</worksheet>
</file>

<file path=xl/worksheets/sheet15.xml><?xml version="1.0" encoding="utf-8"?>
<worksheet xmlns="http://schemas.openxmlformats.org/spreadsheetml/2006/main" xmlns:r="http://schemas.openxmlformats.org/officeDocument/2006/relationships">
  <sheetPr>
    <tabColor rgb="FF92D050"/>
  </sheetPr>
  <dimension ref="A1:F23"/>
  <sheetViews>
    <sheetView showGridLines="0" zoomScale="145" zoomScaleNormal="145" zoomScalePageLayoutView="0" workbookViewId="0" topLeftCell="A1">
      <selection activeCell="G7" sqref="G7"/>
    </sheetView>
  </sheetViews>
  <sheetFormatPr defaultColWidth="10.28125" defaultRowHeight="12.75"/>
  <cols>
    <col min="1" max="1" width="12.28125" style="10" customWidth="1"/>
    <col min="2" max="3" width="12.00390625" style="9" customWidth="1"/>
    <col min="4" max="4" width="17.140625" style="9" customWidth="1"/>
    <col min="5" max="6" width="16.140625" style="9" customWidth="1"/>
    <col min="7" max="16384" width="10.28125" style="9" customWidth="1"/>
  </cols>
  <sheetData>
    <row r="1" spans="1:6" ht="12.75">
      <c r="A1" s="202" t="s">
        <v>144</v>
      </c>
      <c r="B1" s="202"/>
      <c r="C1" s="202"/>
      <c r="D1" s="202"/>
      <c r="E1" s="202"/>
      <c r="F1" s="202"/>
    </row>
    <row r="2" ht="11.25">
      <c r="F2" s="99" t="s">
        <v>133</v>
      </c>
    </row>
    <row r="3" spans="1:6" ht="16.5" customHeight="1">
      <c r="A3" s="233" t="s">
        <v>45</v>
      </c>
      <c r="B3" s="70" t="s">
        <v>136</v>
      </c>
      <c r="C3" s="155"/>
      <c r="D3" s="155" t="s">
        <v>137</v>
      </c>
      <c r="E3" s="155"/>
      <c r="F3" s="155"/>
    </row>
    <row r="4" spans="1:6" ht="25.5" customHeight="1">
      <c r="A4" s="225"/>
      <c r="B4" s="154" t="s">
        <v>134</v>
      </c>
      <c r="C4" s="154" t="s">
        <v>135</v>
      </c>
      <c r="D4" s="154" t="s">
        <v>138</v>
      </c>
      <c r="E4" s="154" t="s">
        <v>139</v>
      </c>
      <c r="F4" s="154" t="s">
        <v>140</v>
      </c>
    </row>
    <row r="5" spans="1:6" s="5" customFormat="1" ht="19.5" customHeight="1">
      <c r="A5" s="156" t="s">
        <v>145</v>
      </c>
      <c r="B5" s="153">
        <v>4.9</v>
      </c>
      <c r="C5" s="153">
        <v>1.093</v>
      </c>
      <c r="D5" s="157">
        <v>232</v>
      </c>
      <c r="E5" s="153">
        <v>1.232</v>
      </c>
      <c r="F5" s="153">
        <v>1.382</v>
      </c>
    </row>
    <row r="6" spans="1:6" s="5" customFormat="1" ht="12.75" customHeight="1">
      <c r="A6" s="156" t="s">
        <v>146</v>
      </c>
      <c r="B6" s="153">
        <v>4.7</v>
      </c>
      <c r="C6" s="153">
        <v>1.093</v>
      </c>
      <c r="D6" s="157">
        <v>232</v>
      </c>
      <c r="E6" s="153">
        <v>1.232</v>
      </c>
      <c r="F6" s="153">
        <v>1.382</v>
      </c>
    </row>
    <row r="7" spans="1:6" s="5" customFormat="1" ht="12.75" customHeight="1">
      <c r="A7" s="156" t="s">
        <v>155</v>
      </c>
      <c r="B7" s="153">
        <v>4.1</v>
      </c>
      <c r="C7" s="153">
        <v>1.517</v>
      </c>
      <c r="D7" s="157">
        <v>232</v>
      </c>
      <c r="E7" s="153">
        <v>1.232</v>
      </c>
      <c r="F7" s="153">
        <v>1.382</v>
      </c>
    </row>
    <row r="8" spans="1:6" s="5" customFormat="1" ht="12.75" customHeight="1">
      <c r="A8" s="156" t="s">
        <v>156</v>
      </c>
      <c r="B8" s="153">
        <v>3.8</v>
      </c>
      <c r="C8" s="153">
        <v>1.517</v>
      </c>
      <c r="D8" s="157">
        <v>232</v>
      </c>
      <c r="E8" s="153">
        <v>1.232</v>
      </c>
      <c r="F8" s="153">
        <v>1.382</v>
      </c>
    </row>
    <row r="9" spans="1:6" s="5" customFormat="1" ht="12.75" customHeight="1">
      <c r="A9" s="156" t="s">
        <v>157</v>
      </c>
      <c r="B9" s="153">
        <v>3.4</v>
      </c>
      <c r="C9" s="153">
        <v>1.517</v>
      </c>
      <c r="D9" s="157">
        <v>232</v>
      </c>
      <c r="E9" s="153">
        <v>1.232</v>
      </c>
      <c r="F9" s="153">
        <v>1.382</v>
      </c>
    </row>
    <row r="10" spans="1:6" s="5" customFormat="1" ht="12.75" customHeight="1">
      <c r="A10" s="156" t="s">
        <v>176</v>
      </c>
      <c r="B10" s="153">
        <v>3</v>
      </c>
      <c r="C10" s="153">
        <v>1.496</v>
      </c>
      <c r="D10" s="157">
        <v>232</v>
      </c>
      <c r="E10" s="153">
        <v>1.232</v>
      </c>
      <c r="F10" s="153">
        <v>1.382</v>
      </c>
    </row>
    <row r="11" spans="1:6" s="5" customFormat="1" ht="12.75" customHeight="1">
      <c r="A11" s="156" t="s">
        <v>177</v>
      </c>
      <c r="B11" s="153">
        <v>2.9</v>
      </c>
      <c r="C11" s="153">
        <v>1.496</v>
      </c>
      <c r="D11" s="157">
        <v>232</v>
      </c>
      <c r="E11" s="153">
        <v>1.232</v>
      </c>
      <c r="F11" s="153">
        <v>1.382</v>
      </c>
    </row>
    <row r="12" spans="1:6" s="5" customFormat="1" ht="12.75" customHeight="1">
      <c r="A12" s="156" t="s">
        <v>178</v>
      </c>
      <c r="B12" s="153">
        <v>2.7</v>
      </c>
      <c r="C12" s="153">
        <v>1.496</v>
      </c>
      <c r="D12" s="157">
        <v>232</v>
      </c>
      <c r="E12" s="153">
        <v>1.232</v>
      </c>
      <c r="F12" s="153">
        <v>1.382</v>
      </c>
    </row>
    <row r="13" spans="1:6" s="5" customFormat="1" ht="12.75" customHeight="1">
      <c r="A13" s="156" t="s">
        <v>181</v>
      </c>
      <c r="B13" s="190">
        <v>2.7</v>
      </c>
      <c r="C13" s="190">
        <v>1.744</v>
      </c>
      <c r="D13" s="157">
        <v>232</v>
      </c>
      <c r="E13" s="153">
        <v>1.232</v>
      </c>
      <c r="F13" s="153">
        <v>1.382</v>
      </c>
    </row>
    <row r="14" spans="1:6" s="5" customFormat="1" ht="12.75" customHeight="1">
      <c r="A14" s="156" t="s">
        <v>182</v>
      </c>
      <c r="B14" s="190">
        <v>3.3</v>
      </c>
      <c r="C14" s="190">
        <v>1.744</v>
      </c>
      <c r="D14" s="157">
        <v>232</v>
      </c>
      <c r="E14" s="153">
        <v>1.232</v>
      </c>
      <c r="F14" s="153">
        <v>1.382</v>
      </c>
    </row>
    <row r="15" spans="1:6" s="5" customFormat="1" ht="12.75" customHeight="1">
      <c r="A15" s="156" t="s">
        <v>200</v>
      </c>
      <c r="B15" s="190">
        <v>3.3</v>
      </c>
      <c r="C15" s="190">
        <v>1.738</v>
      </c>
      <c r="D15" s="157">
        <v>232</v>
      </c>
      <c r="E15" s="153">
        <v>1.232</v>
      </c>
      <c r="F15" s="153">
        <v>1.382</v>
      </c>
    </row>
    <row r="16" spans="1:6" s="5" customFormat="1" ht="12.75" customHeight="1">
      <c r="A16" s="156" t="s">
        <v>201</v>
      </c>
      <c r="B16" s="190">
        <v>3.1</v>
      </c>
      <c r="C16" s="190">
        <v>1.738</v>
      </c>
      <c r="D16" s="157">
        <v>232</v>
      </c>
      <c r="E16" s="153">
        <v>1.232</v>
      </c>
      <c r="F16" s="153">
        <v>1.382</v>
      </c>
    </row>
    <row r="17" spans="1:6" s="5" customFormat="1" ht="12.75" customHeight="1">
      <c r="A17" s="33"/>
      <c r="B17" s="55"/>
      <c r="C17" s="230" t="s">
        <v>43</v>
      </c>
      <c r="D17" s="230"/>
      <c r="E17" s="230"/>
      <c r="F17" s="230"/>
    </row>
    <row r="18" spans="1:6" s="5" customFormat="1" ht="12.75" customHeight="1">
      <c r="A18" s="33"/>
      <c r="B18" s="55"/>
      <c r="C18" s="56"/>
      <c r="D18" s="56"/>
      <c r="E18" s="56"/>
      <c r="F18" s="56"/>
    </row>
    <row r="19" spans="1:2" ht="11.25">
      <c r="A19" s="62" t="s">
        <v>12</v>
      </c>
      <c r="B19" s="62"/>
    </row>
    <row r="20" spans="1:6" ht="11.25">
      <c r="A20" s="221" t="s">
        <v>180</v>
      </c>
      <c r="B20" s="221"/>
      <c r="C20" s="221"/>
      <c r="D20" s="221"/>
      <c r="E20" s="221"/>
      <c r="F20" s="221"/>
    </row>
    <row r="21" spans="1:6" ht="11.25">
      <c r="A21" s="221" t="s">
        <v>141</v>
      </c>
      <c r="B21" s="221"/>
      <c r="C21" s="221"/>
      <c r="D21" s="221"/>
      <c r="E21" s="221"/>
      <c r="F21" s="221"/>
    </row>
    <row r="22" spans="1:6" ht="11.25">
      <c r="A22" s="221" t="s">
        <v>114</v>
      </c>
      <c r="B22" s="221"/>
      <c r="C22" s="221"/>
      <c r="D22" s="221"/>
      <c r="E22" s="221"/>
      <c r="F22" s="221"/>
    </row>
    <row r="23" spans="1:6" ht="11.25">
      <c r="A23" s="221" t="s">
        <v>147</v>
      </c>
      <c r="B23" s="221"/>
      <c r="C23" s="221"/>
      <c r="D23" s="221"/>
      <c r="E23" s="221"/>
      <c r="F23" s="221"/>
    </row>
  </sheetData>
  <sheetProtection/>
  <mergeCells count="7">
    <mergeCell ref="A23:F23"/>
    <mergeCell ref="A22:F22"/>
    <mergeCell ref="A21:F21"/>
    <mergeCell ref="A1:F1"/>
    <mergeCell ref="A3:A4"/>
    <mergeCell ref="C17:F17"/>
    <mergeCell ref="A20:F20"/>
  </mergeCells>
  <printOptions/>
  <pageMargins left="0.787401575" right="0.787401575" top="0.984251969" bottom="0.984251969" header="0.511811023" footer="0.511811023"/>
  <pageSetup horizontalDpi="600" verticalDpi="600" orientation="portrait" paperSize="9" scale="93" r:id="rId2"/>
  <headerFooter alignWithMargins="0">
    <oddFooter>&amp;CSeite &amp;P</oddFooter>
  </headerFooter>
  <drawing r:id="rId1"/>
</worksheet>
</file>

<file path=xl/worksheets/sheet16.xml><?xml version="1.0" encoding="utf-8"?>
<worksheet xmlns="http://schemas.openxmlformats.org/spreadsheetml/2006/main" xmlns:r="http://schemas.openxmlformats.org/officeDocument/2006/relationships">
  <sheetPr>
    <tabColor rgb="FF92D050"/>
  </sheetPr>
  <dimension ref="A1:G49"/>
  <sheetViews>
    <sheetView showGridLines="0" zoomScale="130" zoomScaleNormal="130" zoomScalePageLayoutView="0" workbookViewId="0" topLeftCell="A1">
      <selection activeCell="I6" sqref="I6"/>
    </sheetView>
  </sheetViews>
  <sheetFormatPr defaultColWidth="10.28125" defaultRowHeight="12.75"/>
  <cols>
    <col min="1" max="1" width="17.28125" style="10" customWidth="1"/>
    <col min="2" max="2" width="11.00390625" style="10" customWidth="1"/>
    <col min="3" max="3" width="19.28125" style="9" customWidth="1"/>
    <col min="4" max="4" width="6.57421875" style="9" customWidth="1"/>
    <col min="5" max="6" width="12.7109375" style="9" customWidth="1"/>
    <col min="7" max="7" width="13.140625" style="9" customWidth="1"/>
    <col min="8" max="16384" width="10.28125" style="9" customWidth="1"/>
  </cols>
  <sheetData>
    <row r="1" spans="1:7" ht="12.75">
      <c r="A1" s="202" t="s">
        <v>195</v>
      </c>
      <c r="B1" s="202"/>
      <c r="C1" s="202"/>
      <c r="D1" s="202"/>
      <c r="E1" s="202"/>
      <c r="F1" s="202"/>
      <c r="G1" s="202"/>
    </row>
    <row r="2" ht="11.25">
      <c r="G2" s="99" t="s">
        <v>152</v>
      </c>
    </row>
    <row r="3" spans="1:7" s="38" customFormat="1" ht="20.25" customHeight="1">
      <c r="A3" s="225" t="s">
        <v>45</v>
      </c>
      <c r="B3" s="247" t="s">
        <v>46</v>
      </c>
      <c r="C3" s="247" t="s">
        <v>47</v>
      </c>
      <c r="D3" s="231" t="s">
        <v>212</v>
      </c>
      <c r="E3" s="231"/>
      <c r="F3" s="231"/>
      <c r="G3" s="231"/>
    </row>
    <row r="4" spans="1:7" s="38" customFormat="1" ht="14.25" customHeight="1">
      <c r="A4" s="225"/>
      <c r="B4" s="247"/>
      <c r="C4" s="247"/>
      <c r="D4" s="232" t="s">
        <v>105</v>
      </c>
      <c r="E4" s="232"/>
      <c r="F4" s="232"/>
      <c r="G4" s="232"/>
    </row>
    <row r="5" spans="1:7" s="52" customFormat="1" ht="14.25" customHeight="1">
      <c r="A5" s="225"/>
      <c r="B5" s="247"/>
      <c r="C5" s="247"/>
      <c r="D5" s="74" t="s">
        <v>69</v>
      </c>
      <c r="E5" s="75" t="s">
        <v>70</v>
      </c>
      <c r="F5" s="75" t="s">
        <v>71</v>
      </c>
      <c r="G5" s="75" t="s">
        <v>72</v>
      </c>
    </row>
    <row r="6" spans="1:7" s="5" customFormat="1" ht="30" customHeight="1">
      <c r="A6" s="149" t="s">
        <v>110</v>
      </c>
      <c r="B6" s="111" t="s">
        <v>48</v>
      </c>
      <c r="C6" s="111" t="s">
        <v>49</v>
      </c>
      <c r="D6" s="112">
        <v>10.72</v>
      </c>
      <c r="E6" s="112">
        <v>10.62</v>
      </c>
      <c r="F6" s="112">
        <v>10.49</v>
      </c>
      <c r="G6" s="112">
        <v>10.31</v>
      </c>
    </row>
    <row r="7" spans="1:7" s="5" customFormat="1" ht="12.75" customHeight="1">
      <c r="A7" s="58"/>
      <c r="B7" s="58"/>
      <c r="C7" s="59" t="s">
        <v>50</v>
      </c>
      <c r="D7" s="72">
        <v>11.6083</v>
      </c>
      <c r="E7" s="72">
        <v>11.5063</v>
      </c>
      <c r="F7" s="72">
        <v>11.375</v>
      </c>
      <c r="G7" s="72">
        <v>11.2</v>
      </c>
    </row>
    <row r="8" spans="1:7" s="62" customFormat="1" ht="15" customHeight="1">
      <c r="A8" s="58"/>
      <c r="B8" s="58"/>
      <c r="C8" s="61" t="s">
        <v>51</v>
      </c>
      <c r="D8" s="73">
        <v>22.3283</v>
      </c>
      <c r="E8" s="73">
        <v>22.1263</v>
      </c>
      <c r="F8" s="73">
        <v>21.865</v>
      </c>
      <c r="G8" s="73">
        <v>21.51</v>
      </c>
    </row>
    <row r="9" spans="1:7" s="5" customFormat="1" ht="24.75" customHeight="1">
      <c r="A9" s="59"/>
      <c r="B9" s="60" t="s">
        <v>52</v>
      </c>
      <c r="C9" s="53" t="s">
        <v>49</v>
      </c>
      <c r="D9" s="72">
        <v>7.3</v>
      </c>
      <c r="E9" s="72">
        <v>7.3</v>
      </c>
      <c r="F9" s="72">
        <v>7.3</v>
      </c>
      <c r="G9" s="72">
        <v>7.3</v>
      </c>
    </row>
    <row r="10" spans="1:7" ht="11.25">
      <c r="A10" s="58"/>
      <c r="B10" s="58"/>
      <c r="C10" s="59" t="s">
        <v>50</v>
      </c>
      <c r="D10" s="72">
        <v>8.625</v>
      </c>
      <c r="E10" s="72">
        <v>8.625</v>
      </c>
      <c r="F10" s="72">
        <v>8.625</v>
      </c>
      <c r="G10" s="72">
        <v>8.625</v>
      </c>
    </row>
    <row r="11" spans="1:7" s="43" customFormat="1" ht="15" customHeight="1">
      <c r="A11" s="58"/>
      <c r="B11" s="58"/>
      <c r="C11" s="61" t="s">
        <v>51</v>
      </c>
      <c r="D11" s="73">
        <v>15.925</v>
      </c>
      <c r="E11" s="73">
        <v>15.925</v>
      </c>
      <c r="F11" s="73">
        <v>15.925</v>
      </c>
      <c r="G11" s="73">
        <v>15.925</v>
      </c>
    </row>
    <row r="12" spans="1:7" ht="30" customHeight="1">
      <c r="A12" s="111" t="s">
        <v>109</v>
      </c>
      <c r="B12" s="111" t="s">
        <v>48</v>
      </c>
      <c r="C12" s="111" t="s">
        <v>49</v>
      </c>
      <c r="D12" s="112">
        <v>10.72</v>
      </c>
      <c r="E12" s="112">
        <v>10.62</v>
      </c>
      <c r="F12" s="112">
        <v>10.49</v>
      </c>
      <c r="G12" s="112">
        <v>10.31</v>
      </c>
    </row>
    <row r="13" spans="1:7" ht="11.25">
      <c r="A13" s="113"/>
      <c r="B13" s="113"/>
      <c r="C13" s="114" t="s">
        <v>50</v>
      </c>
      <c r="D13" s="112">
        <v>9.5773</v>
      </c>
      <c r="E13" s="112">
        <v>9.4953</v>
      </c>
      <c r="F13" s="112">
        <v>9.3905</v>
      </c>
      <c r="G13" s="112">
        <v>9.25</v>
      </c>
    </row>
    <row r="14" spans="1:7" s="43" customFormat="1" ht="15" customHeight="1">
      <c r="A14" s="113"/>
      <c r="B14" s="113"/>
      <c r="C14" s="115" t="s">
        <v>51</v>
      </c>
      <c r="D14" s="116">
        <f>SUM(D12:D13)</f>
        <v>20.2973</v>
      </c>
      <c r="E14" s="116">
        <f>SUM(E12:E13)</f>
        <v>20.115299999999998</v>
      </c>
      <c r="F14" s="116">
        <f>SUM(F12:F13)</f>
        <v>19.880499999999998</v>
      </c>
      <c r="G14" s="116">
        <f>SUM(G12:G13)</f>
        <v>19.560000000000002</v>
      </c>
    </row>
    <row r="15" spans="1:7" ht="24.75" customHeight="1">
      <c r="A15" s="114"/>
      <c r="B15" s="117" t="s">
        <v>52</v>
      </c>
      <c r="C15" s="111" t="s">
        <v>49</v>
      </c>
      <c r="D15" s="112">
        <v>7.3</v>
      </c>
      <c r="E15" s="112">
        <v>7.3</v>
      </c>
      <c r="F15" s="112">
        <v>7.3</v>
      </c>
      <c r="G15" s="112">
        <v>7.3</v>
      </c>
    </row>
    <row r="16" spans="1:7" ht="11.25">
      <c r="A16" s="113"/>
      <c r="B16" s="113"/>
      <c r="C16" s="114" t="s">
        <v>50</v>
      </c>
      <c r="D16" s="112">
        <v>7.182</v>
      </c>
      <c r="E16" s="112">
        <v>7.182</v>
      </c>
      <c r="F16" s="112">
        <v>7.182</v>
      </c>
      <c r="G16" s="112">
        <v>7.182</v>
      </c>
    </row>
    <row r="17" spans="1:7" s="43" customFormat="1" ht="15" customHeight="1">
      <c r="A17" s="113"/>
      <c r="B17" s="113"/>
      <c r="C17" s="115" t="s">
        <v>51</v>
      </c>
      <c r="D17" s="116">
        <f>SUM(D15:D16)</f>
        <v>14.482</v>
      </c>
      <c r="E17" s="116">
        <f>SUM(E15:E16)</f>
        <v>14.482</v>
      </c>
      <c r="F17" s="116">
        <f>SUM(F15:F16)</f>
        <v>14.482</v>
      </c>
      <c r="G17" s="116">
        <f>SUM(G15:G16)</f>
        <v>14.482</v>
      </c>
    </row>
    <row r="18" spans="1:7" ht="30" customHeight="1">
      <c r="A18" s="127" t="s">
        <v>111</v>
      </c>
      <c r="B18" s="111" t="s">
        <v>48</v>
      </c>
      <c r="C18" s="111" t="s">
        <v>49</v>
      </c>
      <c r="D18" s="112">
        <v>10.58</v>
      </c>
      <c r="E18" s="112">
        <v>10.48</v>
      </c>
      <c r="F18" s="112">
        <v>10.35</v>
      </c>
      <c r="G18" s="112">
        <v>10.18</v>
      </c>
    </row>
    <row r="19" spans="1:7" ht="11.25">
      <c r="A19" s="113"/>
      <c r="B19" s="113"/>
      <c r="C19" s="114" t="s">
        <v>50</v>
      </c>
      <c r="D19" s="112">
        <v>9.4273</v>
      </c>
      <c r="E19" s="112">
        <v>9.3453</v>
      </c>
      <c r="F19" s="112">
        <v>9.2405</v>
      </c>
      <c r="G19" s="112">
        <v>9.1</v>
      </c>
    </row>
    <row r="20" spans="1:7" s="43" customFormat="1" ht="15" customHeight="1">
      <c r="A20" s="113"/>
      <c r="B20" s="113"/>
      <c r="C20" s="115" t="s">
        <v>51</v>
      </c>
      <c r="D20" s="116">
        <f>SUM(D18:D19)</f>
        <v>20.0073</v>
      </c>
      <c r="E20" s="116">
        <f>SUM(E18:E19)</f>
        <v>19.8253</v>
      </c>
      <c r="F20" s="116">
        <f>SUM(F18:F19)</f>
        <v>19.5905</v>
      </c>
      <c r="G20" s="116">
        <f>SUM(G18:G19)</f>
        <v>19.28</v>
      </c>
    </row>
    <row r="21" spans="1:7" ht="24.75" customHeight="1">
      <c r="A21" s="114"/>
      <c r="B21" s="117" t="s">
        <v>52</v>
      </c>
      <c r="C21" s="111" t="s">
        <v>49</v>
      </c>
      <c r="D21" s="112">
        <v>7.1</v>
      </c>
      <c r="E21" s="112">
        <v>7.1</v>
      </c>
      <c r="F21" s="112">
        <v>7.1</v>
      </c>
      <c r="G21" s="112">
        <v>7.1</v>
      </c>
    </row>
    <row r="22" spans="1:7" ht="11.25">
      <c r="A22" s="113"/>
      <c r="B22" s="113"/>
      <c r="C22" s="114" t="s">
        <v>50</v>
      </c>
      <c r="D22" s="112">
        <v>7.032</v>
      </c>
      <c r="E22" s="112">
        <v>7.032</v>
      </c>
      <c r="F22" s="112">
        <v>7.032</v>
      </c>
      <c r="G22" s="112">
        <v>7.032</v>
      </c>
    </row>
    <row r="23" spans="1:7" s="43" customFormat="1" ht="15" customHeight="1">
      <c r="A23" s="113"/>
      <c r="B23" s="113"/>
      <c r="C23" s="115" t="s">
        <v>51</v>
      </c>
      <c r="D23" s="116">
        <f>SUM(D21:D22)</f>
        <v>14.132</v>
      </c>
      <c r="E23" s="116">
        <f>SUM(E21:E22)</f>
        <v>14.132</v>
      </c>
      <c r="F23" s="116">
        <f>SUM(F21:F22)</f>
        <v>14.132</v>
      </c>
      <c r="G23" s="116">
        <f>SUM(G21:G22)</f>
        <v>14.132</v>
      </c>
    </row>
    <row r="25" spans="3:7" ht="11.25">
      <c r="C25" s="230" t="s">
        <v>53</v>
      </c>
      <c r="D25" s="230"/>
      <c r="E25" s="230"/>
      <c r="F25" s="230"/>
      <c r="G25" s="230"/>
    </row>
    <row r="27" spans="1:2" ht="11.25">
      <c r="A27" s="238" t="s">
        <v>12</v>
      </c>
      <c r="B27" s="238"/>
    </row>
    <row r="28" spans="1:7" ht="25.5" customHeight="1">
      <c r="A28" s="242" t="s">
        <v>169</v>
      </c>
      <c r="B28" s="243"/>
      <c r="C28" s="243"/>
      <c r="D28" s="243"/>
      <c r="E28" s="243"/>
      <c r="F28" s="243"/>
      <c r="G28" s="243"/>
    </row>
    <row r="29" spans="1:2" ht="11.25">
      <c r="A29" s="174"/>
      <c r="B29" s="174"/>
    </row>
    <row r="30" spans="1:7" ht="11.25">
      <c r="A30" s="238" t="s">
        <v>49</v>
      </c>
      <c r="B30" s="238"/>
      <c r="C30" s="238"/>
      <c r="D30" s="238"/>
      <c r="E30" s="238"/>
      <c r="F30" s="238"/>
      <c r="G30" s="238"/>
    </row>
    <row r="31" spans="1:7" ht="11.25">
      <c r="A31" s="234" t="s">
        <v>213</v>
      </c>
      <c r="B31" s="235"/>
      <c r="C31" s="235"/>
      <c r="D31" s="235"/>
      <c r="E31" s="235"/>
      <c r="F31" s="235"/>
      <c r="G31" s="235"/>
    </row>
    <row r="32" spans="1:7" ht="12.75">
      <c r="A32" s="241"/>
      <c r="B32" s="241"/>
      <c r="C32" s="241"/>
      <c r="D32" s="241"/>
      <c r="E32" s="241"/>
      <c r="F32" s="241"/>
      <c r="G32" s="241"/>
    </row>
    <row r="33" spans="1:7" ht="11.25">
      <c r="A33" s="238" t="s">
        <v>50</v>
      </c>
      <c r="B33" s="238"/>
      <c r="C33" s="238"/>
      <c r="D33" s="238"/>
      <c r="E33" s="238"/>
      <c r="F33" s="238"/>
      <c r="G33" s="238"/>
    </row>
    <row r="34" spans="1:7" ht="11.25">
      <c r="A34" s="234" t="s">
        <v>112</v>
      </c>
      <c r="B34" s="235"/>
      <c r="C34" s="235"/>
      <c r="D34" s="235"/>
      <c r="E34" s="235"/>
      <c r="F34" s="235"/>
      <c r="G34" s="235"/>
    </row>
    <row r="35" spans="1:7" s="68" customFormat="1" ht="11.25">
      <c r="A35" s="236" t="s">
        <v>123</v>
      </c>
      <c r="B35" s="237"/>
      <c r="C35" s="237"/>
      <c r="D35" s="237"/>
      <c r="E35" s="237"/>
      <c r="F35" s="237"/>
      <c r="G35" s="237"/>
    </row>
    <row r="36" spans="1:7" s="68" customFormat="1" ht="11.25">
      <c r="A36" s="239" t="s">
        <v>127</v>
      </c>
      <c r="B36" s="240"/>
      <c r="C36" s="240"/>
      <c r="D36" s="240"/>
      <c r="E36" s="240"/>
      <c r="F36" s="240"/>
      <c r="G36" s="240"/>
    </row>
    <row r="37" spans="1:7" s="68" customFormat="1" ht="11.25">
      <c r="A37" s="236" t="s">
        <v>124</v>
      </c>
      <c r="B37" s="237"/>
      <c r="C37" s="237"/>
      <c r="D37" s="237"/>
      <c r="E37" s="237"/>
      <c r="F37" s="237"/>
      <c r="G37" s="237"/>
    </row>
    <row r="38" spans="1:7" s="68" customFormat="1" ht="11.25">
      <c r="A38" s="236" t="s">
        <v>125</v>
      </c>
      <c r="B38" s="237"/>
      <c r="C38" s="237"/>
      <c r="D38" s="237"/>
      <c r="E38" s="237"/>
      <c r="F38" s="237"/>
      <c r="G38" s="237"/>
    </row>
    <row r="39" spans="1:7" s="68" customFormat="1" ht="11.25">
      <c r="A39" s="236" t="s">
        <v>126</v>
      </c>
      <c r="B39" s="237"/>
      <c r="C39" s="237"/>
      <c r="D39" s="237"/>
      <c r="E39" s="237"/>
      <c r="F39" s="237"/>
      <c r="G39" s="237"/>
    </row>
    <row r="40" spans="1:7" ht="11.25">
      <c r="A40" s="244" t="s">
        <v>214</v>
      </c>
      <c r="B40" s="245"/>
      <c r="C40" s="245"/>
      <c r="D40" s="245"/>
      <c r="E40" s="245"/>
      <c r="F40" s="245"/>
      <c r="G40" s="245"/>
    </row>
    <row r="41" spans="1:7" ht="11.25">
      <c r="A41" s="175"/>
      <c r="B41" s="176"/>
      <c r="C41" s="176"/>
      <c r="D41" s="176"/>
      <c r="E41" s="176"/>
      <c r="F41" s="176"/>
      <c r="G41" s="176"/>
    </row>
    <row r="42" spans="1:7" ht="11.25">
      <c r="A42" s="238" t="s">
        <v>168</v>
      </c>
      <c r="B42" s="238"/>
      <c r="C42" s="238"/>
      <c r="D42" s="238"/>
      <c r="E42" s="238"/>
      <c r="F42" s="238"/>
      <c r="G42" s="238"/>
    </row>
    <row r="43" spans="1:7" ht="11.25">
      <c r="A43" s="83" t="s">
        <v>164</v>
      </c>
      <c r="B43" s="172">
        <v>0.2</v>
      </c>
      <c r="C43" s="168" t="s">
        <v>215</v>
      </c>
      <c r="D43" s="169"/>
      <c r="E43" s="169"/>
      <c r="F43" s="169"/>
      <c r="G43" s="169"/>
    </row>
    <row r="44" spans="1:7" ht="11.25">
      <c r="A44" s="83" t="s">
        <v>165</v>
      </c>
      <c r="B44" s="172">
        <v>0.3</v>
      </c>
      <c r="C44" s="168" t="s">
        <v>215</v>
      </c>
      <c r="D44" s="169"/>
      <c r="E44" s="169"/>
      <c r="F44" s="169"/>
      <c r="G44" s="169"/>
    </row>
    <row r="45" spans="1:7" ht="11.25">
      <c r="A45" s="83" t="s">
        <v>170</v>
      </c>
      <c r="B45" s="172">
        <v>1</v>
      </c>
      <c r="C45" s="168" t="s">
        <v>215</v>
      </c>
      <c r="D45" s="169"/>
      <c r="E45" s="169"/>
      <c r="F45" s="169"/>
      <c r="G45" s="169"/>
    </row>
    <row r="46" ht="12.75">
      <c r="A46"/>
    </row>
    <row r="47" spans="1:7" ht="11.25">
      <c r="A47" s="246" t="s">
        <v>54</v>
      </c>
      <c r="B47" s="246"/>
      <c r="C47" s="246"/>
      <c r="D47" s="246"/>
      <c r="E47" s="246"/>
      <c r="F47" s="246"/>
      <c r="G47" s="246"/>
    </row>
    <row r="48" spans="1:7" s="68" customFormat="1" ht="11.25">
      <c r="A48" s="234" t="s">
        <v>196</v>
      </c>
      <c r="B48" s="235"/>
      <c r="C48" s="235"/>
      <c r="D48" s="235"/>
      <c r="E48" s="235"/>
      <c r="F48" s="235"/>
      <c r="G48" s="235"/>
    </row>
    <row r="49" spans="1:7" s="68" customFormat="1" ht="11.25">
      <c r="A49" s="234" t="s">
        <v>197</v>
      </c>
      <c r="B49" s="235"/>
      <c r="C49" s="235"/>
      <c r="D49" s="235"/>
      <c r="E49" s="235"/>
      <c r="F49" s="235"/>
      <c r="G49" s="235"/>
    </row>
  </sheetData>
  <sheetProtection/>
  <mergeCells count="24">
    <mergeCell ref="A1:G1"/>
    <mergeCell ref="A30:G30"/>
    <mergeCell ref="A31:G31"/>
    <mergeCell ref="B3:B5"/>
    <mergeCell ref="C3:C5"/>
    <mergeCell ref="A3:A5"/>
    <mergeCell ref="D3:G3"/>
    <mergeCell ref="C25:G25"/>
    <mergeCell ref="A42:G42"/>
    <mergeCell ref="A28:G28"/>
    <mergeCell ref="A39:G39"/>
    <mergeCell ref="A40:G40"/>
    <mergeCell ref="A48:G48"/>
    <mergeCell ref="A47:G47"/>
    <mergeCell ref="A49:G49"/>
    <mergeCell ref="A37:G37"/>
    <mergeCell ref="A38:G38"/>
    <mergeCell ref="A35:G35"/>
    <mergeCell ref="D4:G4"/>
    <mergeCell ref="A33:G33"/>
    <mergeCell ref="A34:G34"/>
    <mergeCell ref="A27:B27"/>
    <mergeCell ref="A36:G36"/>
    <mergeCell ref="A32:G32"/>
  </mergeCells>
  <printOptions/>
  <pageMargins left="0.787401575" right="0.787401575" top="0.984251969" bottom="0.984251969" header="0.511811023" footer="0.511811023"/>
  <pageSetup horizontalDpi="300" verticalDpi="300" orientation="portrait" paperSize="9" scale="93" r:id="rId2"/>
  <headerFooter alignWithMargins="0">
    <oddFooter>&amp;CSeite &amp;P</oddFooter>
  </headerFooter>
  <drawing r:id="rId1"/>
</worksheet>
</file>

<file path=xl/worksheets/sheet17.xml><?xml version="1.0" encoding="utf-8"?>
<worksheet xmlns="http://schemas.openxmlformats.org/spreadsheetml/2006/main" xmlns:r="http://schemas.openxmlformats.org/officeDocument/2006/relationships">
  <sheetPr>
    <tabColor rgb="FF92D050"/>
  </sheetPr>
  <dimension ref="A1:G36"/>
  <sheetViews>
    <sheetView zoomScale="145" zoomScaleNormal="145" zoomScalePageLayoutView="0" workbookViewId="0" topLeftCell="A1">
      <selection activeCell="J31" sqref="J31"/>
    </sheetView>
  </sheetViews>
  <sheetFormatPr defaultColWidth="10.28125" defaultRowHeight="12.75"/>
  <cols>
    <col min="1" max="1" width="17.28125" style="10" customWidth="1"/>
    <col min="2" max="2" width="11.00390625" style="10" customWidth="1"/>
    <col min="3" max="3" width="19.28125" style="9" customWidth="1"/>
    <col min="4" max="4" width="6.57421875" style="9" customWidth="1"/>
    <col min="5" max="6" width="12.7109375" style="9" customWidth="1"/>
    <col min="7" max="7" width="13.140625" style="9" customWidth="1"/>
    <col min="8" max="16384" width="10.28125" style="9" customWidth="1"/>
  </cols>
  <sheetData>
    <row r="1" spans="1:7" ht="12.75">
      <c r="A1" s="202" t="s">
        <v>167</v>
      </c>
      <c r="B1" s="202"/>
      <c r="C1" s="202"/>
      <c r="D1" s="202"/>
      <c r="E1" s="202"/>
      <c r="F1" s="202"/>
      <c r="G1" s="202"/>
    </row>
    <row r="2" ht="11.25">
      <c r="G2" s="99" t="s">
        <v>166</v>
      </c>
    </row>
    <row r="3" spans="1:7" s="38" customFormat="1" ht="20.25" customHeight="1">
      <c r="A3" s="225" t="s">
        <v>45</v>
      </c>
      <c r="B3" s="247" t="s">
        <v>46</v>
      </c>
      <c r="C3" s="247" t="s">
        <v>47</v>
      </c>
      <c r="D3" s="231" t="s">
        <v>212</v>
      </c>
      <c r="E3" s="231"/>
      <c r="F3" s="231"/>
      <c r="G3" s="231"/>
    </row>
    <row r="4" spans="1:7" s="38" customFormat="1" ht="14.25" customHeight="1">
      <c r="A4" s="225"/>
      <c r="B4" s="247"/>
      <c r="C4" s="247"/>
      <c r="D4" s="248" t="s">
        <v>105</v>
      </c>
      <c r="E4" s="248"/>
      <c r="F4" s="248"/>
      <c r="G4" s="248"/>
    </row>
    <row r="5" spans="1:7" s="52" customFormat="1" ht="14.25" customHeight="1">
      <c r="A5" s="225"/>
      <c r="B5" s="247"/>
      <c r="C5" s="247"/>
      <c r="D5" s="170" t="s">
        <v>159</v>
      </c>
      <c r="E5" s="171" t="s">
        <v>160</v>
      </c>
      <c r="F5" s="171" t="s">
        <v>161</v>
      </c>
      <c r="G5" s="171" t="s">
        <v>162</v>
      </c>
    </row>
    <row r="6" spans="1:7" ht="11.25">
      <c r="A6" s="127" t="s">
        <v>155</v>
      </c>
      <c r="B6" s="111" t="s">
        <v>48</v>
      </c>
      <c r="C6" s="111" t="s">
        <v>49</v>
      </c>
      <c r="D6" s="112">
        <v>9.95</v>
      </c>
      <c r="E6" s="112">
        <v>9.95</v>
      </c>
      <c r="F6" s="112">
        <v>9.95</v>
      </c>
      <c r="G6" s="112">
        <v>9.95</v>
      </c>
    </row>
    <row r="7" spans="1:7" ht="11.25">
      <c r="A7" s="113"/>
      <c r="B7" s="113"/>
      <c r="C7" s="114" t="s">
        <v>50</v>
      </c>
      <c r="D7" s="112">
        <v>9.4273</v>
      </c>
      <c r="E7" s="112">
        <v>9.3453</v>
      </c>
      <c r="F7" s="112">
        <v>9.2405</v>
      </c>
      <c r="G7" s="112">
        <v>9.1</v>
      </c>
    </row>
    <row r="8" spans="1:7" s="43" customFormat="1" ht="15" customHeight="1">
      <c r="A8" s="113"/>
      <c r="B8" s="113"/>
      <c r="C8" s="115" t="s">
        <v>51</v>
      </c>
      <c r="D8" s="116">
        <f>SUM(D6:D7)</f>
        <v>19.377299999999998</v>
      </c>
      <c r="E8" s="116">
        <f>SUM(E6:E7)</f>
        <v>19.295299999999997</v>
      </c>
      <c r="F8" s="116">
        <f>SUM(F6:F7)</f>
        <v>19.1905</v>
      </c>
      <c r="G8" s="116">
        <f>SUM(G6:G7)</f>
        <v>19.049999999999997</v>
      </c>
    </row>
    <row r="9" spans="1:7" ht="24.75" customHeight="1">
      <c r="A9" s="114"/>
      <c r="B9" s="117" t="s">
        <v>52</v>
      </c>
      <c r="C9" s="111" t="s">
        <v>49</v>
      </c>
      <c r="D9" s="112">
        <v>6.95</v>
      </c>
      <c r="E9" s="112">
        <v>6.95</v>
      </c>
      <c r="F9" s="112">
        <v>6.95</v>
      </c>
      <c r="G9" s="112">
        <v>6.95</v>
      </c>
    </row>
    <row r="10" spans="1:7" ht="11.25">
      <c r="A10" s="113"/>
      <c r="B10" s="113"/>
      <c r="C10" s="114" t="s">
        <v>50</v>
      </c>
      <c r="D10" s="112">
        <v>7.032</v>
      </c>
      <c r="E10" s="112">
        <v>7.032</v>
      </c>
      <c r="F10" s="112">
        <v>7.032</v>
      </c>
      <c r="G10" s="112">
        <v>7.032</v>
      </c>
    </row>
    <row r="11" spans="1:7" s="43" customFormat="1" ht="15" customHeight="1">
      <c r="A11" s="113"/>
      <c r="B11" s="113"/>
      <c r="C11" s="115" t="s">
        <v>51</v>
      </c>
      <c r="D11" s="116">
        <f>SUM(D9:D10)</f>
        <v>13.982</v>
      </c>
      <c r="E11" s="116">
        <f>SUM(E9:E10)</f>
        <v>13.982</v>
      </c>
      <c r="F11" s="116">
        <f>SUM(F9:F10)</f>
        <v>13.982</v>
      </c>
      <c r="G11" s="116">
        <f>SUM(G9:G10)</f>
        <v>13.982</v>
      </c>
    </row>
    <row r="13" spans="3:7" ht="11.25">
      <c r="C13" s="230" t="s">
        <v>53</v>
      </c>
      <c r="D13" s="230"/>
      <c r="E13" s="230"/>
      <c r="F13" s="230"/>
      <c r="G13" s="230"/>
    </row>
    <row r="15" spans="1:2" ht="11.25">
      <c r="A15" s="238" t="s">
        <v>12</v>
      </c>
      <c r="B15" s="238"/>
    </row>
    <row r="16" spans="1:7" ht="25.5" customHeight="1">
      <c r="A16" s="242" t="s">
        <v>169</v>
      </c>
      <c r="B16" s="243"/>
      <c r="C16" s="243"/>
      <c r="D16" s="243"/>
      <c r="E16" s="243"/>
      <c r="F16" s="243"/>
      <c r="G16" s="243"/>
    </row>
    <row r="17" spans="1:2" ht="11.25">
      <c r="A17" s="174"/>
      <c r="B17" s="174"/>
    </row>
    <row r="18" spans="1:7" ht="11.25">
      <c r="A18" s="238" t="s">
        <v>49</v>
      </c>
      <c r="B18" s="238"/>
      <c r="C18" s="238"/>
      <c r="D18" s="238"/>
      <c r="E18" s="238"/>
      <c r="F18" s="238"/>
      <c r="G18" s="238"/>
    </row>
    <row r="19" spans="1:7" ht="11.25">
      <c r="A19" s="234" t="s">
        <v>213</v>
      </c>
      <c r="B19" s="235"/>
      <c r="C19" s="235"/>
      <c r="D19" s="235"/>
      <c r="E19" s="235"/>
      <c r="F19" s="235"/>
      <c r="G19" s="235"/>
    </row>
    <row r="20" spans="1:7" ht="12.75">
      <c r="A20" s="241"/>
      <c r="B20" s="241"/>
      <c r="C20" s="241"/>
      <c r="D20" s="241"/>
      <c r="E20" s="241"/>
      <c r="F20" s="241"/>
      <c r="G20" s="241"/>
    </row>
    <row r="21" spans="1:7" ht="11.25">
      <c r="A21" s="238" t="s">
        <v>50</v>
      </c>
      <c r="B21" s="238"/>
      <c r="C21" s="238"/>
      <c r="D21" s="238"/>
      <c r="E21" s="238"/>
      <c r="F21" s="238"/>
      <c r="G21" s="238"/>
    </row>
    <row r="22" spans="1:7" ht="11.25">
      <c r="A22" s="234" t="s">
        <v>112</v>
      </c>
      <c r="B22" s="235"/>
      <c r="C22" s="235"/>
      <c r="D22" s="235"/>
      <c r="E22" s="235"/>
      <c r="F22" s="235"/>
      <c r="G22" s="235"/>
    </row>
    <row r="23" spans="1:7" s="68" customFormat="1" ht="11.25">
      <c r="A23" s="236" t="s">
        <v>123</v>
      </c>
      <c r="B23" s="237"/>
      <c r="C23" s="237"/>
      <c r="D23" s="237"/>
      <c r="E23" s="237"/>
      <c r="F23" s="237"/>
      <c r="G23" s="237"/>
    </row>
    <row r="24" spans="1:7" s="68" customFormat="1" ht="11.25">
      <c r="A24" s="239" t="s">
        <v>127</v>
      </c>
      <c r="B24" s="240"/>
      <c r="C24" s="240"/>
      <c r="D24" s="240"/>
      <c r="E24" s="240"/>
      <c r="F24" s="240"/>
      <c r="G24" s="240"/>
    </row>
    <row r="25" spans="1:7" s="68" customFormat="1" ht="11.25">
      <c r="A25" s="236" t="s">
        <v>124</v>
      </c>
      <c r="B25" s="237"/>
      <c r="C25" s="237"/>
      <c r="D25" s="237"/>
      <c r="E25" s="237"/>
      <c r="F25" s="237"/>
      <c r="G25" s="237"/>
    </row>
    <row r="26" spans="1:7" s="68" customFormat="1" ht="11.25">
      <c r="A26" s="236" t="s">
        <v>125</v>
      </c>
      <c r="B26" s="237"/>
      <c r="C26" s="237"/>
      <c r="D26" s="237"/>
      <c r="E26" s="237"/>
      <c r="F26" s="237"/>
      <c r="G26" s="237"/>
    </row>
    <row r="27" spans="1:7" s="68" customFormat="1" ht="11.25">
      <c r="A27" s="236" t="s">
        <v>126</v>
      </c>
      <c r="B27" s="237"/>
      <c r="C27" s="237"/>
      <c r="D27" s="237"/>
      <c r="E27" s="237"/>
      <c r="F27" s="237"/>
      <c r="G27" s="237"/>
    </row>
    <row r="28" spans="1:7" ht="11.25">
      <c r="A28" s="244" t="s">
        <v>214</v>
      </c>
      <c r="B28" s="245"/>
      <c r="C28" s="245"/>
      <c r="D28" s="245"/>
      <c r="E28" s="245"/>
      <c r="F28" s="245"/>
      <c r="G28" s="245"/>
    </row>
    <row r="29" spans="1:7" ht="11.25">
      <c r="A29" s="175"/>
      <c r="B29" s="176"/>
      <c r="C29" s="176"/>
      <c r="D29" s="176"/>
      <c r="E29" s="176"/>
      <c r="F29" s="176"/>
      <c r="G29" s="176"/>
    </row>
    <row r="30" spans="1:7" ht="11.25">
      <c r="A30" s="238" t="s">
        <v>168</v>
      </c>
      <c r="B30" s="238"/>
      <c r="C30" s="238"/>
      <c r="D30" s="238"/>
      <c r="E30" s="238"/>
      <c r="F30" s="238"/>
      <c r="G30" s="238"/>
    </row>
    <row r="31" spans="1:7" ht="11.25">
      <c r="A31" s="173" t="s">
        <v>175</v>
      </c>
      <c r="B31" s="172">
        <v>1</v>
      </c>
      <c r="C31" s="168" t="s">
        <v>215</v>
      </c>
      <c r="D31" s="169"/>
      <c r="E31" s="169"/>
      <c r="F31" s="169"/>
      <c r="G31" s="169"/>
    </row>
    <row r="32" spans="1:3" ht="11.25">
      <c r="A32" s="173" t="s">
        <v>176</v>
      </c>
      <c r="B32" s="172">
        <v>1.5</v>
      </c>
      <c r="C32" s="168" t="s">
        <v>215</v>
      </c>
    </row>
    <row r="33" spans="1:3" ht="11.25">
      <c r="A33" s="173"/>
      <c r="B33" s="172"/>
      <c r="C33" s="168"/>
    </row>
    <row r="34" spans="1:7" ht="11.25">
      <c r="A34" s="246" t="s">
        <v>54</v>
      </c>
      <c r="B34" s="246"/>
      <c r="C34" s="246"/>
      <c r="D34" s="246"/>
      <c r="E34" s="246"/>
      <c r="F34" s="246"/>
      <c r="G34" s="246"/>
    </row>
    <row r="35" spans="1:7" s="68" customFormat="1" ht="11.25">
      <c r="A35" s="234" t="s">
        <v>196</v>
      </c>
      <c r="B35" s="235"/>
      <c r="C35" s="235"/>
      <c r="D35" s="235"/>
      <c r="E35" s="235"/>
      <c r="F35" s="235"/>
      <c r="G35" s="235"/>
    </row>
    <row r="36" spans="1:7" s="68" customFormat="1" ht="11.25">
      <c r="A36" s="234" t="s">
        <v>197</v>
      </c>
      <c r="B36" s="235"/>
      <c r="C36" s="235"/>
      <c r="D36" s="235"/>
      <c r="E36" s="235"/>
      <c r="F36" s="235"/>
      <c r="G36" s="235"/>
    </row>
  </sheetData>
  <sheetProtection/>
  <mergeCells count="24">
    <mergeCell ref="A1:G1"/>
    <mergeCell ref="A3:A5"/>
    <mergeCell ref="B3:B5"/>
    <mergeCell ref="C3:C5"/>
    <mergeCell ref="D3:G3"/>
    <mergeCell ref="D4:G4"/>
    <mergeCell ref="A36:G36"/>
    <mergeCell ref="A30:G30"/>
    <mergeCell ref="A20:G20"/>
    <mergeCell ref="A21:G21"/>
    <mergeCell ref="A22:G22"/>
    <mergeCell ref="A19:G19"/>
    <mergeCell ref="A24:G24"/>
    <mergeCell ref="A28:G28"/>
    <mergeCell ref="A27:G27"/>
    <mergeCell ref="A34:G34"/>
    <mergeCell ref="C13:G13"/>
    <mergeCell ref="A15:B15"/>
    <mergeCell ref="A35:G35"/>
    <mergeCell ref="A16:G16"/>
    <mergeCell ref="A18:G18"/>
    <mergeCell ref="A25:G25"/>
    <mergeCell ref="A26:G26"/>
    <mergeCell ref="A23:G23"/>
  </mergeCells>
  <printOptions/>
  <pageMargins left="0.7" right="0.7" top="0.787401575" bottom="0.787401575" header="0.3" footer="0.3"/>
  <pageSetup horizontalDpi="600" verticalDpi="600" orientation="portrait" paperSize="9" scale="96" r:id="rId2"/>
  <drawing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A1:M47"/>
  <sheetViews>
    <sheetView showGridLines="0" zoomScale="130" zoomScaleNormal="130" zoomScalePageLayoutView="0" workbookViewId="0" topLeftCell="A1">
      <pane ySplit="3" topLeftCell="A23" activePane="bottomLeft" state="frozen"/>
      <selection pane="topLeft" activeCell="H30" sqref="H30"/>
      <selection pane="bottomLeft" activeCell="M27" sqref="M27"/>
    </sheetView>
  </sheetViews>
  <sheetFormatPr defaultColWidth="10.28125" defaultRowHeight="12.75"/>
  <cols>
    <col min="1" max="1" width="5.28125" style="10" customWidth="1"/>
    <col min="2" max="8" width="8.421875" style="11" customWidth="1"/>
    <col min="9" max="9" width="9.8515625" style="11" customWidth="1"/>
    <col min="10" max="10" width="8.421875" style="11" customWidth="1"/>
    <col min="11" max="11" width="14.421875" style="11" bestFit="1" customWidth="1"/>
    <col min="12" max="12" width="8.421875" style="11" customWidth="1"/>
    <col min="13" max="16384" width="10.28125" style="5" customWidth="1"/>
  </cols>
  <sheetData>
    <row r="1" spans="1:12" ht="12.75">
      <c r="A1" s="202" t="s">
        <v>190</v>
      </c>
      <c r="B1" s="202"/>
      <c r="C1" s="202"/>
      <c r="D1" s="202"/>
      <c r="E1" s="202"/>
      <c r="F1" s="202"/>
      <c r="G1" s="202"/>
      <c r="H1" s="202"/>
      <c r="I1" s="202"/>
      <c r="J1" s="202"/>
      <c r="K1" s="202"/>
      <c r="L1" s="202"/>
    </row>
    <row r="2" ht="11.25">
      <c r="L2" s="98" t="s">
        <v>85</v>
      </c>
    </row>
    <row r="3" spans="1:12" s="167" customFormat="1" ht="28.5" customHeight="1">
      <c r="A3" s="165" t="s">
        <v>0</v>
      </c>
      <c r="B3" s="104" t="s">
        <v>7</v>
      </c>
      <c r="C3" s="104" t="s">
        <v>1</v>
      </c>
      <c r="D3" s="104" t="s">
        <v>4</v>
      </c>
      <c r="E3" s="104" t="s">
        <v>83</v>
      </c>
      <c r="F3" s="104" t="s">
        <v>3</v>
      </c>
      <c r="G3" s="104" t="s">
        <v>5</v>
      </c>
      <c r="H3" s="104" t="s">
        <v>99</v>
      </c>
      <c r="I3" s="166" t="s">
        <v>132</v>
      </c>
      <c r="J3" s="104" t="s">
        <v>56</v>
      </c>
      <c r="K3" s="104" t="s">
        <v>98</v>
      </c>
      <c r="L3" s="166" t="s">
        <v>9</v>
      </c>
    </row>
    <row r="4" spans="1:12" ht="18" customHeight="1">
      <c r="A4" s="4">
        <v>1985</v>
      </c>
      <c r="B4" s="128">
        <v>866696</v>
      </c>
      <c r="C4" s="128">
        <v>172982</v>
      </c>
      <c r="D4" s="130">
        <v>200443</v>
      </c>
      <c r="E4" s="130">
        <v>45017</v>
      </c>
      <c r="F4" s="130">
        <v>402017</v>
      </c>
      <c r="G4" s="130" t="s">
        <v>16</v>
      </c>
      <c r="H4" s="131">
        <v>33352</v>
      </c>
      <c r="I4" s="130" t="s">
        <v>16</v>
      </c>
      <c r="J4" s="130">
        <v>11925</v>
      </c>
      <c r="K4" s="130" t="s">
        <v>16</v>
      </c>
      <c r="L4" s="130">
        <v>960</v>
      </c>
    </row>
    <row r="5" spans="1:12" ht="12.75" customHeight="1">
      <c r="A5" s="4">
        <v>1986</v>
      </c>
      <c r="B5" s="128">
        <v>976421</v>
      </c>
      <c r="C5" s="128">
        <v>183170</v>
      </c>
      <c r="D5" s="130">
        <v>195766</v>
      </c>
      <c r="E5" s="130">
        <v>48296</v>
      </c>
      <c r="F5" s="130">
        <v>499058</v>
      </c>
      <c r="G5" s="130">
        <v>2984</v>
      </c>
      <c r="H5" s="131">
        <v>31861</v>
      </c>
      <c r="I5" s="130" t="s">
        <v>16</v>
      </c>
      <c r="J5" s="130">
        <v>14615</v>
      </c>
      <c r="K5" s="130" t="s">
        <v>16</v>
      </c>
      <c r="L5" s="130">
        <v>671</v>
      </c>
    </row>
    <row r="6" spans="1:12" ht="12.75" customHeight="1">
      <c r="A6" s="4">
        <v>1987</v>
      </c>
      <c r="B6" s="128">
        <v>761956</v>
      </c>
      <c r="C6" s="128">
        <v>196823</v>
      </c>
      <c r="D6" s="130">
        <v>197240</v>
      </c>
      <c r="E6" s="130">
        <v>50091</v>
      </c>
      <c r="F6" s="130">
        <v>232207</v>
      </c>
      <c r="G6" s="130">
        <v>52100</v>
      </c>
      <c r="H6" s="131">
        <v>21624</v>
      </c>
      <c r="I6" s="130" t="s">
        <v>16</v>
      </c>
      <c r="J6" s="130">
        <v>11387</v>
      </c>
      <c r="K6" s="130" t="s">
        <v>16</v>
      </c>
      <c r="L6" s="130">
        <v>484</v>
      </c>
    </row>
    <row r="7" spans="1:12" ht="12.75" customHeight="1">
      <c r="A7" s="4">
        <v>1988</v>
      </c>
      <c r="B7" s="128">
        <v>946315</v>
      </c>
      <c r="C7" s="128">
        <v>204672</v>
      </c>
      <c r="D7" s="130">
        <v>217293</v>
      </c>
      <c r="E7" s="130">
        <v>58984</v>
      </c>
      <c r="F7" s="130">
        <v>358019</v>
      </c>
      <c r="G7" s="130">
        <v>90876</v>
      </c>
      <c r="H7" s="131">
        <v>6350</v>
      </c>
      <c r="I7" s="130" t="s">
        <v>16</v>
      </c>
      <c r="J7" s="130">
        <v>9715</v>
      </c>
      <c r="K7" s="130" t="s">
        <v>16</v>
      </c>
      <c r="L7" s="130">
        <v>406</v>
      </c>
    </row>
    <row r="8" spans="1:12" ht="12.75" customHeight="1">
      <c r="A8" s="4">
        <v>1989</v>
      </c>
      <c r="B8" s="128">
        <v>991708</v>
      </c>
      <c r="C8" s="128">
        <v>215127</v>
      </c>
      <c r="D8" s="130">
        <v>228009</v>
      </c>
      <c r="E8" s="130">
        <v>58266</v>
      </c>
      <c r="F8" s="130">
        <v>365848</v>
      </c>
      <c r="G8" s="130">
        <v>112306</v>
      </c>
      <c r="H8" s="131">
        <v>3589</v>
      </c>
      <c r="I8" s="130" t="s">
        <v>16</v>
      </c>
      <c r="J8" s="130">
        <v>8118</v>
      </c>
      <c r="K8" s="130" t="s">
        <v>16</v>
      </c>
      <c r="L8" s="130">
        <v>445</v>
      </c>
    </row>
    <row r="9" spans="1:12" ht="18" customHeight="1">
      <c r="A9" s="4">
        <v>1990</v>
      </c>
      <c r="B9" s="128">
        <v>1081511</v>
      </c>
      <c r="C9" s="128">
        <v>221915</v>
      </c>
      <c r="D9" s="130">
        <v>227559</v>
      </c>
      <c r="E9" s="130">
        <v>69579</v>
      </c>
      <c r="F9" s="130">
        <v>419922</v>
      </c>
      <c r="G9" s="130">
        <v>126635</v>
      </c>
      <c r="H9" s="131">
        <v>3691</v>
      </c>
      <c r="I9" s="130" t="s">
        <v>16</v>
      </c>
      <c r="J9" s="130">
        <v>11921</v>
      </c>
      <c r="K9" s="130" t="s">
        <v>16</v>
      </c>
      <c r="L9" s="130">
        <v>289</v>
      </c>
    </row>
    <row r="10" spans="1:12" ht="12.75" customHeight="1">
      <c r="A10" s="4">
        <v>1991</v>
      </c>
      <c r="B10" s="128">
        <v>1058651</v>
      </c>
      <c r="C10" s="128">
        <v>225761</v>
      </c>
      <c r="D10" s="130">
        <v>254579</v>
      </c>
      <c r="E10" s="130">
        <v>67813</v>
      </c>
      <c r="F10" s="130">
        <v>346024</v>
      </c>
      <c r="G10" s="130">
        <v>153693</v>
      </c>
      <c r="H10" s="131">
        <v>2262</v>
      </c>
      <c r="I10" s="130" t="s">
        <v>16</v>
      </c>
      <c r="J10" s="130">
        <v>8246</v>
      </c>
      <c r="K10" s="130" t="s">
        <v>16</v>
      </c>
      <c r="L10" s="130">
        <v>273</v>
      </c>
    </row>
    <row r="11" spans="1:12" ht="12.75" customHeight="1">
      <c r="A11" s="4">
        <v>1992</v>
      </c>
      <c r="B11" s="128">
        <v>1088813</v>
      </c>
      <c r="C11" s="128">
        <v>233791</v>
      </c>
      <c r="D11" s="130">
        <v>281575</v>
      </c>
      <c r="E11" s="130">
        <v>76063</v>
      </c>
      <c r="F11" s="130">
        <v>308669</v>
      </c>
      <c r="G11" s="130">
        <v>172197</v>
      </c>
      <c r="H11" s="131">
        <v>4299</v>
      </c>
      <c r="I11" s="130" t="s">
        <v>16</v>
      </c>
      <c r="J11" s="130">
        <v>11891</v>
      </c>
      <c r="K11" s="130" t="s">
        <v>16</v>
      </c>
      <c r="L11" s="130">
        <v>328</v>
      </c>
    </row>
    <row r="12" spans="1:12" ht="12.75" customHeight="1">
      <c r="A12" s="4">
        <v>1993</v>
      </c>
      <c r="B12" s="128">
        <v>1109019</v>
      </c>
      <c r="C12" s="128">
        <v>235382</v>
      </c>
      <c r="D12" s="130">
        <v>261365</v>
      </c>
      <c r="E12" s="130">
        <v>74296</v>
      </c>
      <c r="F12" s="130">
        <v>337640</v>
      </c>
      <c r="G12" s="130">
        <v>185870</v>
      </c>
      <c r="H12" s="131">
        <v>3370</v>
      </c>
      <c r="I12" s="130" t="s">
        <v>16</v>
      </c>
      <c r="J12" s="130">
        <v>10799</v>
      </c>
      <c r="K12" s="130" t="s">
        <v>16</v>
      </c>
      <c r="L12" s="130">
        <v>297</v>
      </c>
    </row>
    <row r="13" spans="1:12" ht="12.75" customHeight="1">
      <c r="A13" s="4">
        <v>1994</v>
      </c>
      <c r="B13" s="128">
        <v>1074477</v>
      </c>
      <c r="C13" s="128">
        <v>242003</v>
      </c>
      <c r="D13" s="130">
        <v>246703</v>
      </c>
      <c r="E13" s="130">
        <v>61752</v>
      </c>
      <c r="F13" s="130">
        <v>318704</v>
      </c>
      <c r="G13" s="130">
        <v>188847</v>
      </c>
      <c r="H13" s="131">
        <v>2627</v>
      </c>
      <c r="I13" s="130" t="s">
        <v>16</v>
      </c>
      <c r="J13" s="130">
        <v>13630</v>
      </c>
      <c r="K13" s="130" t="s">
        <v>16</v>
      </c>
      <c r="L13" s="130">
        <v>211</v>
      </c>
    </row>
    <row r="14" spans="1:12" ht="18" customHeight="1">
      <c r="A14" s="4">
        <v>1995</v>
      </c>
      <c r="B14" s="130">
        <v>1054655</v>
      </c>
      <c r="C14" s="130">
        <v>252593</v>
      </c>
      <c r="D14" s="130">
        <v>223595</v>
      </c>
      <c r="E14" s="130">
        <v>63615</v>
      </c>
      <c r="F14" s="130">
        <v>295896</v>
      </c>
      <c r="G14" s="130">
        <v>206433</v>
      </c>
      <c r="H14" s="131">
        <v>2259</v>
      </c>
      <c r="I14" s="130" t="s">
        <v>16</v>
      </c>
      <c r="J14" s="130">
        <v>10061</v>
      </c>
      <c r="K14" s="130" t="s">
        <v>16</v>
      </c>
      <c r="L14" s="130">
        <v>203</v>
      </c>
    </row>
    <row r="15" spans="1:12" ht="12.75" customHeight="1">
      <c r="A15" s="4">
        <v>1996</v>
      </c>
      <c r="B15" s="130">
        <v>1130601</v>
      </c>
      <c r="C15" s="130">
        <v>259303</v>
      </c>
      <c r="D15" s="130">
        <v>281987</v>
      </c>
      <c r="E15" s="130">
        <v>68225</v>
      </c>
      <c r="F15" s="130">
        <v>272809</v>
      </c>
      <c r="G15" s="130">
        <v>236086</v>
      </c>
      <c r="H15" s="131">
        <v>2709</v>
      </c>
      <c r="I15" s="130" t="s">
        <v>16</v>
      </c>
      <c r="J15" s="130">
        <v>9334</v>
      </c>
      <c r="K15" s="130" t="s">
        <v>16</v>
      </c>
      <c r="L15" s="130">
        <v>148</v>
      </c>
    </row>
    <row r="16" spans="1:12" ht="12.75" customHeight="1">
      <c r="A16" s="4">
        <v>1997</v>
      </c>
      <c r="B16" s="130">
        <v>1137233</v>
      </c>
      <c r="C16" s="130">
        <v>263372</v>
      </c>
      <c r="D16" s="130">
        <v>252079</v>
      </c>
      <c r="E16" s="130">
        <v>66227</v>
      </c>
      <c r="F16" s="130">
        <v>312926</v>
      </c>
      <c r="G16" s="130">
        <v>228997</v>
      </c>
      <c r="H16" s="131">
        <v>1942</v>
      </c>
      <c r="I16" s="130" t="s">
        <v>16</v>
      </c>
      <c r="J16" s="130">
        <v>11340</v>
      </c>
      <c r="K16" s="130">
        <v>194</v>
      </c>
      <c r="L16" s="130">
        <v>156</v>
      </c>
    </row>
    <row r="17" spans="1:12" ht="12.75" customHeight="1">
      <c r="A17" s="4">
        <v>1998</v>
      </c>
      <c r="B17" s="130">
        <v>1238975</v>
      </c>
      <c r="C17" s="130">
        <v>283639</v>
      </c>
      <c r="D17" s="130">
        <v>260616</v>
      </c>
      <c r="E17" s="130">
        <v>87380</v>
      </c>
      <c r="F17" s="130">
        <v>339648</v>
      </c>
      <c r="G17" s="130">
        <v>252413</v>
      </c>
      <c r="H17" s="131">
        <v>1994</v>
      </c>
      <c r="I17" s="130" t="s">
        <v>16</v>
      </c>
      <c r="J17" s="130">
        <v>12685</v>
      </c>
      <c r="K17" s="130">
        <v>436</v>
      </c>
      <c r="L17" s="130">
        <v>164</v>
      </c>
    </row>
    <row r="18" spans="1:12" ht="12.75" customHeight="1">
      <c r="A18" s="4">
        <v>1999</v>
      </c>
      <c r="B18" s="130">
        <v>1211919</v>
      </c>
      <c r="C18" s="130">
        <v>295031</v>
      </c>
      <c r="D18" s="132">
        <v>233802</v>
      </c>
      <c r="E18" s="130">
        <v>102099</v>
      </c>
      <c r="F18" s="130">
        <v>293176</v>
      </c>
      <c r="G18" s="130">
        <v>271540</v>
      </c>
      <c r="H18" s="131">
        <v>1623</v>
      </c>
      <c r="I18" s="130" t="s">
        <v>16</v>
      </c>
      <c r="J18" s="130">
        <v>13922</v>
      </c>
      <c r="K18" s="130">
        <v>640</v>
      </c>
      <c r="L18" s="130">
        <v>86</v>
      </c>
    </row>
    <row r="19" spans="1:12" ht="18" customHeight="1">
      <c r="A19" s="4">
        <v>2000</v>
      </c>
      <c r="B19" s="130">
        <v>1207153</v>
      </c>
      <c r="C19" s="130">
        <v>302018</v>
      </c>
      <c r="D19" s="130">
        <v>271348</v>
      </c>
      <c r="E19" s="130">
        <v>79841</v>
      </c>
      <c r="F19" s="130">
        <v>259531</v>
      </c>
      <c r="G19" s="130">
        <v>267293</v>
      </c>
      <c r="H19" s="131">
        <v>1533</v>
      </c>
      <c r="I19" s="130" t="s">
        <v>16</v>
      </c>
      <c r="J19" s="130">
        <v>24423</v>
      </c>
      <c r="K19" s="130">
        <v>979</v>
      </c>
      <c r="L19" s="130">
        <v>187</v>
      </c>
    </row>
    <row r="20" spans="1:12" ht="12.75" customHeight="1">
      <c r="A20" s="4">
        <v>2001</v>
      </c>
      <c r="B20" s="130">
        <v>1215652</v>
      </c>
      <c r="C20" s="130">
        <v>313450</v>
      </c>
      <c r="D20" s="130">
        <v>262765</v>
      </c>
      <c r="E20" s="130">
        <v>76583</v>
      </c>
      <c r="F20" s="130">
        <v>249674</v>
      </c>
      <c r="G20" s="130">
        <v>295782</v>
      </c>
      <c r="H20" s="131">
        <v>1086</v>
      </c>
      <c r="I20" s="130" t="s">
        <v>16</v>
      </c>
      <c r="J20" s="130">
        <v>14943</v>
      </c>
      <c r="K20" s="130">
        <v>1268</v>
      </c>
      <c r="L20" s="130">
        <v>101</v>
      </c>
    </row>
    <row r="21" spans="1:12" ht="12.75" customHeight="1">
      <c r="A21" s="4">
        <v>2002</v>
      </c>
      <c r="B21" s="130">
        <v>1233336</v>
      </c>
      <c r="C21" s="130">
        <v>318340</v>
      </c>
      <c r="D21" s="130">
        <v>240060</v>
      </c>
      <c r="E21" s="132">
        <v>66762</v>
      </c>
      <c r="F21" s="130">
        <v>286596</v>
      </c>
      <c r="G21" s="130">
        <v>303045</v>
      </c>
      <c r="H21" s="131">
        <v>1176</v>
      </c>
      <c r="I21" s="130" t="s">
        <v>16</v>
      </c>
      <c r="J21" s="130">
        <v>15627</v>
      </c>
      <c r="K21" s="130">
        <v>1636</v>
      </c>
      <c r="L21" s="130">
        <v>94</v>
      </c>
    </row>
    <row r="22" spans="1:12" ht="12.75" customHeight="1">
      <c r="A22" s="4">
        <v>2003</v>
      </c>
      <c r="B22" s="130">
        <v>1294666</v>
      </c>
      <c r="C22" s="130">
        <v>329582</v>
      </c>
      <c r="D22" s="130">
        <v>229564</v>
      </c>
      <c r="E22" s="130">
        <v>92849</v>
      </c>
      <c r="F22" s="130">
        <v>294323</v>
      </c>
      <c r="G22" s="130">
        <v>324183</v>
      </c>
      <c r="H22" s="131">
        <v>1265</v>
      </c>
      <c r="I22" s="130" t="s">
        <v>16</v>
      </c>
      <c r="J22" s="130">
        <v>20667</v>
      </c>
      <c r="K22" s="130">
        <v>2132</v>
      </c>
      <c r="L22" s="130">
        <v>101</v>
      </c>
    </row>
    <row r="23" spans="1:12" ht="12.75" customHeight="1">
      <c r="A23" s="6" t="s">
        <v>11</v>
      </c>
      <c r="B23" s="130">
        <v>1315340</v>
      </c>
      <c r="C23" s="130">
        <v>344715</v>
      </c>
      <c r="D23" s="130">
        <v>222149</v>
      </c>
      <c r="E23" s="130">
        <v>95227</v>
      </c>
      <c r="F23" s="130">
        <v>284442</v>
      </c>
      <c r="G23" s="130">
        <v>342498</v>
      </c>
      <c r="H23" s="131">
        <v>1150</v>
      </c>
      <c r="I23" s="130" t="s">
        <v>16</v>
      </c>
      <c r="J23" s="130">
        <v>22602</v>
      </c>
      <c r="K23" s="130">
        <v>2479</v>
      </c>
      <c r="L23" s="130">
        <v>78</v>
      </c>
    </row>
    <row r="24" spans="1:12" ht="18" customHeight="1">
      <c r="A24" s="6">
        <v>2005</v>
      </c>
      <c r="B24" s="130">
        <v>1330327</v>
      </c>
      <c r="C24" s="130">
        <v>353128</v>
      </c>
      <c r="D24" s="130">
        <v>214734</v>
      </c>
      <c r="E24" s="130">
        <v>102385</v>
      </c>
      <c r="F24" s="132">
        <v>273365</v>
      </c>
      <c r="G24" s="130">
        <v>357417</v>
      </c>
      <c r="H24" s="131">
        <v>1022</v>
      </c>
      <c r="I24" s="130" t="s">
        <v>16</v>
      </c>
      <c r="J24" s="130">
        <v>25022</v>
      </c>
      <c r="K24" s="130">
        <v>3184</v>
      </c>
      <c r="L24" s="130">
        <v>70</v>
      </c>
    </row>
    <row r="25" spans="1:12" ht="12.75" customHeight="1">
      <c r="A25" s="6">
        <v>2006</v>
      </c>
      <c r="B25" s="130">
        <v>1358014</v>
      </c>
      <c r="C25" s="130">
        <v>369497</v>
      </c>
      <c r="D25" s="130">
        <v>196484</v>
      </c>
      <c r="E25" s="130">
        <v>111219</v>
      </c>
      <c r="F25" s="130">
        <v>282696</v>
      </c>
      <c r="G25" s="130">
        <v>364081</v>
      </c>
      <c r="H25" s="131">
        <v>1533</v>
      </c>
      <c r="I25" s="130" t="s">
        <v>16</v>
      </c>
      <c r="J25" s="130">
        <v>28580</v>
      </c>
      <c r="K25" s="130">
        <v>3877</v>
      </c>
      <c r="L25" s="130">
        <v>47</v>
      </c>
    </row>
    <row r="26" spans="1:12" ht="12.75" customHeight="1">
      <c r="A26" s="6">
        <v>2007</v>
      </c>
      <c r="B26" s="130">
        <v>1266191</v>
      </c>
      <c r="C26" s="130">
        <v>379013</v>
      </c>
      <c r="D26" s="130">
        <v>197489</v>
      </c>
      <c r="E26" s="130">
        <v>122231</v>
      </c>
      <c r="F26" s="130">
        <v>172784</v>
      </c>
      <c r="G26" s="130">
        <v>350318</v>
      </c>
      <c r="H26" s="131">
        <v>1700</v>
      </c>
      <c r="I26" s="130" t="s">
        <v>16</v>
      </c>
      <c r="J26" s="130">
        <v>38079</v>
      </c>
      <c r="K26" s="130">
        <v>4538</v>
      </c>
      <c r="L26" s="130">
        <v>39</v>
      </c>
    </row>
    <row r="27" spans="1:12" ht="12.75" customHeight="1">
      <c r="A27" s="93">
        <v>2008</v>
      </c>
      <c r="B27" s="128">
        <v>1344366</v>
      </c>
      <c r="C27" s="128">
        <v>386290</v>
      </c>
      <c r="D27" s="128">
        <v>198682</v>
      </c>
      <c r="E27" s="128">
        <v>137426</v>
      </c>
      <c r="F27" s="128">
        <v>215193</v>
      </c>
      <c r="G27" s="128">
        <v>361083</v>
      </c>
      <c r="H27" s="128">
        <v>1316</v>
      </c>
      <c r="I27" s="128" t="s">
        <v>16</v>
      </c>
      <c r="J27" s="133">
        <v>38435</v>
      </c>
      <c r="K27" s="128">
        <v>5910</v>
      </c>
      <c r="L27" s="128">
        <v>31</v>
      </c>
    </row>
    <row r="28" spans="1:12" ht="12.75" customHeight="1">
      <c r="A28" s="6">
        <v>2009</v>
      </c>
      <c r="B28" s="130">
        <v>1317750</v>
      </c>
      <c r="C28" s="128">
        <v>377558</v>
      </c>
      <c r="D28" s="128">
        <v>182690</v>
      </c>
      <c r="E28" s="128">
        <v>131181</v>
      </c>
      <c r="F28" s="128">
        <v>241890</v>
      </c>
      <c r="G28" s="130">
        <v>285251</v>
      </c>
      <c r="H28" s="131">
        <v>1342</v>
      </c>
      <c r="I28" s="130">
        <v>43434</v>
      </c>
      <c r="J28" s="134">
        <v>47208</v>
      </c>
      <c r="K28" s="128">
        <v>7180</v>
      </c>
      <c r="L28" s="130">
        <v>16</v>
      </c>
    </row>
    <row r="29" spans="1:12" ht="12.75" customHeight="1">
      <c r="A29" s="6">
        <v>2010</v>
      </c>
      <c r="B29" s="128">
        <v>1338073.24</v>
      </c>
      <c r="C29" s="128">
        <v>396580</v>
      </c>
      <c r="D29" s="128">
        <v>164854</v>
      </c>
      <c r="E29" s="128">
        <v>132075</v>
      </c>
      <c r="F29" s="128">
        <v>192534</v>
      </c>
      <c r="G29" s="130">
        <v>300345</v>
      </c>
      <c r="H29" s="128">
        <v>1482</v>
      </c>
      <c r="I29" s="130">
        <v>91236.24</v>
      </c>
      <c r="J29" s="130">
        <v>50816</v>
      </c>
      <c r="K29" s="128">
        <v>8135</v>
      </c>
      <c r="L29" s="130">
        <v>16</v>
      </c>
    </row>
    <row r="30" spans="1:12" ht="12.75" customHeight="1">
      <c r="A30" s="6">
        <v>2011</v>
      </c>
      <c r="B30" s="128">
        <v>1280205.9</v>
      </c>
      <c r="C30" s="128">
        <v>398241</v>
      </c>
      <c r="D30" s="128">
        <v>156769</v>
      </c>
      <c r="E30" s="128">
        <v>138285</v>
      </c>
      <c r="F30" s="128">
        <v>168437</v>
      </c>
      <c r="G30" s="130">
        <v>265660</v>
      </c>
      <c r="H30" s="128">
        <v>1176</v>
      </c>
      <c r="I30" s="130">
        <v>87363.9</v>
      </c>
      <c r="J30" s="130">
        <v>55250</v>
      </c>
      <c r="K30" s="128">
        <v>9008</v>
      </c>
      <c r="L30" s="130">
        <v>16</v>
      </c>
    </row>
    <row r="31" spans="1:12" ht="12.75" customHeight="1">
      <c r="A31" s="6">
        <v>2012</v>
      </c>
      <c r="B31" s="128">
        <v>1323326.448</v>
      </c>
      <c r="C31" s="128">
        <v>404008</v>
      </c>
      <c r="D31" s="128">
        <v>162064</v>
      </c>
      <c r="E31" s="128">
        <v>152598</v>
      </c>
      <c r="F31" s="128">
        <v>176121</v>
      </c>
      <c r="G31" s="128">
        <v>270329</v>
      </c>
      <c r="H31" s="128">
        <v>1150</v>
      </c>
      <c r="I31" s="128">
        <v>91170.448</v>
      </c>
      <c r="J31" s="128">
        <v>56345</v>
      </c>
      <c r="K31" s="128">
        <v>9541</v>
      </c>
      <c r="L31" s="135" t="s">
        <v>16</v>
      </c>
    </row>
    <row r="32" spans="1:12" ht="12.75" customHeight="1">
      <c r="A32" s="6">
        <v>2013</v>
      </c>
      <c r="B32" s="128">
        <v>1356559.8</v>
      </c>
      <c r="C32" s="128">
        <v>403892.8</v>
      </c>
      <c r="D32" s="128">
        <v>156611</v>
      </c>
      <c r="E32" s="128">
        <v>160601</v>
      </c>
      <c r="F32" s="128">
        <v>190521</v>
      </c>
      <c r="G32" s="128">
        <v>286760</v>
      </c>
      <c r="H32" s="128">
        <v>1073</v>
      </c>
      <c r="I32" s="128">
        <v>98943</v>
      </c>
      <c r="J32" s="128">
        <v>47904</v>
      </c>
      <c r="K32" s="128">
        <v>9882</v>
      </c>
      <c r="L32" s="136">
        <v>372</v>
      </c>
    </row>
    <row r="33" spans="1:12" ht="12.75" customHeight="1">
      <c r="A33" s="6">
        <v>2014</v>
      </c>
      <c r="B33" s="128">
        <f aca="true" t="shared" si="0" ref="B33:B38">SUM(C33:L33)</f>
        <v>1235751.5252826007</v>
      </c>
      <c r="C33" s="128">
        <v>396366.9538826008</v>
      </c>
      <c r="D33" s="128">
        <v>141783</v>
      </c>
      <c r="E33" s="128">
        <v>154509</v>
      </c>
      <c r="F33" s="128">
        <v>130586</v>
      </c>
      <c r="G33" s="128">
        <v>238463.3916</v>
      </c>
      <c r="H33" s="128">
        <v>1009.541</v>
      </c>
      <c r="I33" s="128">
        <v>105115</v>
      </c>
      <c r="J33" s="128">
        <v>51950</v>
      </c>
      <c r="K33" s="128">
        <v>10146.15</v>
      </c>
      <c r="L33" s="130">
        <v>5822.4888</v>
      </c>
    </row>
    <row r="34" spans="1:12" ht="12.75" customHeight="1">
      <c r="A34" s="6">
        <v>2015</v>
      </c>
      <c r="B34" s="128">
        <f t="shared" si="0"/>
        <v>1241318.980323696</v>
      </c>
      <c r="C34" s="128">
        <v>395207.4803236961</v>
      </c>
      <c r="D34" s="128">
        <v>113843</v>
      </c>
      <c r="E34" s="128">
        <v>138466</v>
      </c>
      <c r="F34" s="128">
        <v>158068</v>
      </c>
      <c r="G34" s="128">
        <v>254525</v>
      </c>
      <c r="H34" s="128">
        <v>1022</v>
      </c>
      <c r="I34" s="128">
        <v>105547</v>
      </c>
      <c r="J34" s="128">
        <v>58155</v>
      </c>
      <c r="K34" s="128">
        <v>10255.5</v>
      </c>
      <c r="L34" s="130">
        <v>6230</v>
      </c>
    </row>
    <row r="35" spans="1:12" ht="12.75" customHeight="1">
      <c r="A35" s="6">
        <v>2016</v>
      </c>
      <c r="B35" s="128">
        <f t="shared" si="0"/>
        <v>1208885.9000000001</v>
      </c>
      <c r="C35" s="128">
        <v>398915.1</v>
      </c>
      <c r="D35" s="128">
        <v>106695</v>
      </c>
      <c r="E35" s="128">
        <v>143770</v>
      </c>
      <c r="F35" s="128">
        <v>125556</v>
      </c>
      <c r="G35" s="128">
        <v>252912</v>
      </c>
      <c r="H35" s="128">
        <v>1010</v>
      </c>
      <c r="I35" s="128">
        <v>107855</v>
      </c>
      <c r="J35" s="128">
        <v>56251</v>
      </c>
      <c r="K35" s="128">
        <v>10315.800000000001</v>
      </c>
      <c r="L35" s="130">
        <v>5606</v>
      </c>
    </row>
    <row r="36" spans="1:12" ht="12.75" customHeight="1">
      <c r="A36" s="6">
        <v>2017</v>
      </c>
      <c r="B36" s="128">
        <f t="shared" si="0"/>
        <v>1241042.931802293</v>
      </c>
      <c r="C36" s="128">
        <v>406592.80290229316</v>
      </c>
      <c r="D36" s="128">
        <v>104459</v>
      </c>
      <c r="E36" s="128">
        <v>151749</v>
      </c>
      <c r="F36" s="128">
        <v>135365</v>
      </c>
      <c r="G36" s="128">
        <v>265328.8263</v>
      </c>
      <c r="H36" s="128">
        <v>971.204</v>
      </c>
      <c r="I36" s="128">
        <v>107394.005</v>
      </c>
      <c r="J36" s="128">
        <v>52515</v>
      </c>
      <c r="K36" s="128">
        <v>10420.65</v>
      </c>
      <c r="L36" s="130">
        <v>6247.4436</v>
      </c>
    </row>
    <row r="37" spans="1:12" ht="12.75" customHeight="1">
      <c r="A37" s="6">
        <v>2018</v>
      </c>
      <c r="B37" s="195">
        <f t="shared" si="0"/>
        <v>1212089.716</v>
      </c>
      <c r="C37" s="195">
        <v>409647</v>
      </c>
      <c r="D37" s="128">
        <v>102506</v>
      </c>
      <c r="E37" s="128">
        <v>147437</v>
      </c>
      <c r="F37" s="128">
        <v>109610</v>
      </c>
      <c r="G37" s="128">
        <v>246385</v>
      </c>
      <c r="H37" s="128">
        <v>1061</v>
      </c>
      <c r="I37" s="195">
        <v>115951.266</v>
      </c>
      <c r="J37" s="128">
        <v>62604</v>
      </c>
      <c r="K37" s="128">
        <v>10278.45</v>
      </c>
      <c r="L37" s="135">
        <v>6610</v>
      </c>
    </row>
    <row r="38" spans="1:13" ht="12.75" customHeight="1">
      <c r="A38" s="6">
        <v>2019</v>
      </c>
      <c r="B38" s="128">
        <f t="shared" si="0"/>
        <v>1234803.5289999999</v>
      </c>
      <c r="C38" s="128">
        <v>409964</v>
      </c>
      <c r="D38" s="128">
        <v>100873</v>
      </c>
      <c r="E38" s="128">
        <v>142671</v>
      </c>
      <c r="F38" s="128">
        <v>136449</v>
      </c>
      <c r="G38" s="128">
        <v>249562.36169999998</v>
      </c>
      <c r="H38" s="128">
        <v>996.762</v>
      </c>
      <c r="I38" s="128">
        <v>119893.69900000001</v>
      </c>
      <c r="J38" s="128">
        <v>57484</v>
      </c>
      <c r="K38" s="128">
        <v>10053.949999999999</v>
      </c>
      <c r="L38" s="128">
        <v>6855.7563</v>
      </c>
      <c r="M38" s="200"/>
    </row>
    <row r="39" spans="1:12" ht="12.75" customHeight="1">
      <c r="A39" s="11"/>
      <c r="D39" s="7"/>
      <c r="E39" s="118"/>
      <c r="F39" s="7"/>
      <c r="G39" s="7"/>
      <c r="H39" s="7"/>
      <c r="I39" s="7"/>
      <c r="J39" s="7"/>
      <c r="K39" s="184"/>
      <c r="L39" s="7"/>
    </row>
    <row r="40" spans="1:12" ht="12.75" customHeight="1">
      <c r="A40" s="206" t="s">
        <v>12</v>
      </c>
      <c r="B40" s="206"/>
      <c r="C40" s="206"/>
      <c r="D40" s="206"/>
      <c r="E40" s="206"/>
      <c r="F40" s="206"/>
      <c r="G40" s="206"/>
      <c r="H40" s="206"/>
      <c r="I40" s="206"/>
      <c r="J40" s="206"/>
      <c r="K40" s="206"/>
      <c r="L40" s="206"/>
    </row>
    <row r="41" spans="1:12" ht="25.5" customHeight="1">
      <c r="A41" s="204" t="s">
        <v>207</v>
      </c>
      <c r="B41" s="204"/>
      <c r="C41" s="204"/>
      <c r="D41" s="204"/>
      <c r="E41" s="204"/>
      <c r="F41" s="204"/>
      <c r="G41" s="204"/>
      <c r="H41" s="204"/>
      <c r="I41" s="204"/>
      <c r="J41" s="204"/>
      <c r="K41" s="204"/>
      <c r="L41" s="204"/>
    </row>
    <row r="42" spans="1:12" ht="25.5" customHeight="1">
      <c r="A42" s="204" t="s">
        <v>128</v>
      </c>
      <c r="B42" s="204"/>
      <c r="C42" s="204"/>
      <c r="D42" s="204"/>
      <c r="E42" s="204"/>
      <c r="F42" s="204"/>
      <c r="G42" s="204"/>
      <c r="H42" s="204"/>
      <c r="I42" s="204"/>
      <c r="J42" s="204"/>
      <c r="K42" s="204"/>
      <c r="L42" s="204"/>
    </row>
    <row r="43" spans="1:12" ht="27.75" customHeight="1">
      <c r="A43" s="204" t="s">
        <v>129</v>
      </c>
      <c r="B43" s="204"/>
      <c r="C43" s="204"/>
      <c r="D43" s="204"/>
      <c r="E43" s="204"/>
      <c r="F43" s="204"/>
      <c r="G43" s="204"/>
      <c r="H43" s="204"/>
      <c r="I43" s="204"/>
      <c r="J43" s="204"/>
      <c r="K43" s="204"/>
      <c r="L43" s="204"/>
    </row>
    <row r="44" spans="1:12" ht="15" customHeight="1">
      <c r="A44" s="204" t="s">
        <v>55</v>
      </c>
      <c r="B44" s="204"/>
      <c r="C44" s="204"/>
      <c r="D44" s="204"/>
      <c r="E44" s="204"/>
      <c r="F44" s="204"/>
      <c r="G44" s="204"/>
      <c r="H44" s="204"/>
      <c r="I44" s="204"/>
      <c r="J44" s="204"/>
      <c r="K44" s="204"/>
      <c r="L44" s="204"/>
    </row>
    <row r="45" spans="1:12" ht="23.25" customHeight="1">
      <c r="A45" s="205" t="s">
        <v>203</v>
      </c>
      <c r="B45" s="205"/>
      <c r="C45" s="205"/>
      <c r="D45" s="205"/>
      <c r="E45" s="205"/>
      <c r="F45" s="205"/>
      <c r="G45" s="205"/>
      <c r="H45" s="205"/>
      <c r="I45" s="205"/>
      <c r="J45" s="205"/>
      <c r="K45" s="205"/>
      <c r="L45" s="205"/>
    </row>
    <row r="46" spans="1:12" ht="25.5" customHeight="1">
      <c r="A46" s="203" t="s">
        <v>130</v>
      </c>
      <c r="B46" s="203"/>
      <c r="C46" s="203"/>
      <c r="D46" s="203"/>
      <c r="E46" s="203"/>
      <c r="F46" s="203"/>
      <c r="G46" s="203"/>
      <c r="H46" s="203"/>
      <c r="I46" s="203"/>
      <c r="J46" s="203"/>
      <c r="K46" s="203"/>
      <c r="L46" s="203"/>
    </row>
    <row r="47" spans="1:12" s="2" customFormat="1" ht="23.25" customHeight="1">
      <c r="A47" s="203" t="s">
        <v>204</v>
      </c>
      <c r="B47" s="203"/>
      <c r="C47" s="203"/>
      <c r="D47" s="203"/>
      <c r="E47" s="203"/>
      <c r="F47" s="203"/>
      <c r="G47" s="203"/>
      <c r="H47" s="203"/>
      <c r="I47" s="203"/>
      <c r="J47" s="203"/>
      <c r="K47" s="203"/>
      <c r="L47" s="203"/>
    </row>
  </sheetData>
  <sheetProtection/>
  <mergeCells count="9">
    <mergeCell ref="A47:L47"/>
    <mergeCell ref="A46:L46"/>
    <mergeCell ref="A41:L41"/>
    <mergeCell ref="A44:L44"/>
    <mergeCell ref="A45:L45"/>
    <mergeCell ref="A1:L1"/>
    <mergeCell ref="A40:L40"/>
    <mergeCell ref="A42:L42"/>
    <mergeCell ref="A43:L43"/>
  </mergeCells>
  <printOptions/>
  <pageMargins left="0.787401575" right="0.787401575" top="0.984251969" bottom="0.984251969" header="0.511811023" footer="0.511811023"/>
  <pageSetup fitToHeight="1" fitToWidth="1" horizontalDpi="300" verticalDpi="300" orientation="portrait" paperSize="9" scale="82" r:id="rId2"/>
  <headerFooter alignWithMargins="0">
    <oddFooter>&amp;CSeite &amp;P</oddFooter>
  </headerFooter>
  <drawing r:id="rId1"/>
</worksheet>
</file>

<file path=xl/worksheets/sheet3.xml><?xml version="1.0" encoding="utf-8"?>
<worksheet xmlns="http://schemas.openxmlformats.org/spreadsheetml/2006/main" xmlns:r="http://schemas.openxmlformats.org/officeDocument/2006/relationships">
  <sheetPr>
    <tabColor rgb="FF92D050"/>
  </sheetPr>
  <dimension ref="A1:L45"/>
  <sheetViews>
    <sheetView showGridLines="0" zoomScale="130" zoomScaleNormal="130" zoomScalePageLayoutView="0" workbookViewId="0" topLeftCell="A1">
      <pane ySplit="3" topLeftCell="A17" activePane="bottomLeft" state="frozen"/>
      <selection pane="topLeft" activeCell="H30" sqref="H30"/>
      <selection pane="bottomLeft" activeCell="M19" sqref="M19"/>
    </sheetView>
  </sheetViews>
  <sheetFormatPr defaultColWidth="10.28125" defaultRowHeight="13.5" customHeight="1"/>
  <cols>
    <col min="1" max="1" width="7.421875" style="10" customWidth="1"/>
    <col min="2" max="9" width="9.28125" style="5" customWidth="1"/>
    <col min="10" max="10" width="14.140625" style="5" bestFit="1" customWidth="1"/>
    <col min="11" max="11" width="9.28125" style="5" customWidth="1"/>
    <col min="12" max="16384" width="10.28125" style="5" customWidth="1"/>
  </cols>
  <sheetData>
    <row r="1" spans="1:11" ht="13.5" customHeight="1">
      <c r="A1" s="202" t="s">
        <v>191</v>
      </c>
      <c r="B1" s="202"/>
      <c r="C1" s="202"/>
      <c r="D1" s="202"/>
      <c r="E1" s="202"/>
      <c r="F1" s="202"/>
      <c r="G1" s="202"/>
      <c r="H1" s="202"/>
      <c r="I1" s="202"/>
      <c r="J1" s="202"/>
      <c r="K1" s="202"/>
    </row>
    <row r="2" ht="13.5" customHeight="1">
      <c r="K2" s="99" t="s">
        <v>86</v>
      </c>
    </row>
    <row r="3" spans="1:11" s="17" customFormat="1" ht="37.5" customHeight="1">
      <c r="A3" s="18" t="s">
        <v>0</v>
      </c>
      <c r="B3" s="18" t="s">
        <v>1</v>
      </c>
      <c r="C3" s="18" t="s">
        <v>4</v>
      </c>
      <c r="D3" s="18" t="s">
        <v>83</v>
      </c>
      <c r="E3" s="18" t="s">
        <v>3</v>
      </c>
      <c r="F3" s="18" t="s">
        <v>5</v>
      </c>
      <c r="G3" s="18" t="s">
        <v>6</v>
      </c>
      <c r="H3" s="166" t="s">
        <v>132</v>
      </c>
      <c r="I3" s="18" t="s">
        <v>56</v>
      </c>
      <c r="J3" s="104" t="s">
        <v>98</v>
      </c>
      <c r="K3" s="126" t="s">
        <v>9</v>
      </c>
    </row>
    <row r="4" spans="1:11" ht="18" customHeight="1">
      <c r="A4" s="76">
        <v>1985</v>
      </c>
      <c r="B4" s="139">
        <v>0.1995878601031965</v>
      </c>
      <c r="C4" s="139">
        <v>0.2312725569288424</v>
      </c>
      <c r="D4" s="139">
        <v>0.05194093430683885</v>
      </c>
      <c r="E4" s="139">
        <v>0.46385006968994896</v>
      </c>
      <c r="F4" s="139" t="s">
        <v>16</v>
      </c>
      <c r="G4" s="139">
        <v>0.038481774463018176</v>
      </c>
      <c r="H4" s="138" t="s">
        <v>16</v>
      </c>
      <c r="I4" s="139">
        <v>0.013759149690318174</v>
      </c>
      <c r="J4" s="138" t="s">
        <v>16</v>
      </c>
      <c r="K4" s="139">
        <v>0.0011076548178369347</v>
      </c>
    </row>
    <row r="5" spans="1:11" ht="12.75" customHeight="1">
      <c r="A5" s="76">
        <v>1986</v>
      </c>
      <c r="B5" s="139">
        <v>0.18759326151322023</v>
      </c>
      <c r="C5" s="139">
        <v>0.20049343469671382</v>
      </c>
      <c r="D5" s="139">
        <v>0.049462270885202185</v>
      </c>
      <c r="E5" s="139">
        <v>0.5111094497148259</v>
      </c>
      <c r="F5" s="139">
        <v>0.003056058810697435</v>
      </c>
      <c r="G5" s="139">
        <v>0.032630392013281155</v>
      </c>
      <c r="H5" s="138" t="s">
        <v>16</v>
      </c>
      <c r="I5" s="139">
        <v>0.014967928793010392</v>
      </c>
      <c r="J5" s="138" t="s">
        <v>16</v>
      </c>
      <c r="K5" s="139">
        <v>0.0006872035730489205</v>
      </c>
    </row>
    <row r="6" spans="1:11" ht="12.75" customHeight="1">
      <c r="A6" s="76">
        <v>1987</v>
      </c>
      <c r="B6" s="139">
        <v>0.2583128159631265</v>
      </c>
      <c r="C6" s="139">
        <v>0.25886009165883594</v>
      </c>
      <c r="D6" s="139">
        <v>0.06574001648389145</v>
      </c>
      <c r="E6" s="139">
        <v>0.30475119298227193</v>
      </c>
      <c r="F6" s="139">
        <v>0.06837665167017518</v>
      </c>
      <c r="G6" s="139">
        <v>0.028379591472473476</v>
      </c>
      <c r="H6" s="138" t="s">
        <v>16</v>
      </c>
      <c r="I6" s="139">
        <v>0.014944432486915255</v>
      </c>
      <c r="J6" s="138" t="s">
        <v>16</v>
      </c>
      <c r="K6" s="139">
        <v>0.0006352072823102646</v>
      </c>
    </row>
    <row r="7" spans="1:11" ht="12.75" customHeight="1">
      <c r="A7" s="76">
        <v>1988</v>
      </c>
      <c r="B7" s="139">
        <v>0.216283161526553</v>
      </c>
      <c r="C7" s="139">
        <v>0.229620158192568</v>
      </c>
      <c r="D7" s="139">
        <v>0.06233019660472464</v>
      </c>
      <c r="E7" s="139">
        <v>0.37832962597021075</v>
      </c>
      <c r="F7" s="139">
        <v>0.09603144830209814</v>
      </c>
      <c r="G7" s="139">
        <v>0.006710239190967067</v>
      </c>
      <c r="H7" s="138" t="s">
        <v>16</v>
      </c>
      <c r="I7" s="139">
        <v>0.010266137596888986</v>
      </c>
      <c r="J7" s="138" t="s">
        <v>16</v>
      </c>
      <c r="K7" s="139">
        <v>0.00042903261598939044</v>
      </c>
    </row>
    <row r="8" spans="1:11" ht="12.75" customHeight="1">
      <c r="A8" s="76">
        <v>1989</v>
      </c>
      <c r="B8" s="139">
        <v>0.2169257483049446</v>
      </c>
      <c r="C8" s="139">
        <v>0.22991545898591118</v>
      </c>
      <c r="D8" s="139">
        <v>0.05875318138000298</v>
      </c>
      <c r="E8" s="139">
        <v>0.36890697665038497</v>
      </c>
      <c r="F8" s="139">
        <v>0.11324502777027108</v>
      </c>
      <c r="G8" s="139">
        <v>0.0036190088211449337</v>
      </c>
      <c r="H8" s="138" t="s">
        <v>16</v>
      </c>
      <c r="I8" s="139">
        <v>0.008185877294526212</v>
      </c>
      <c r="J8" s="138" t="s">
        <v>16</v>
      </c>
      <c r="K8" s="139">
        <v>0.0004487207928140138</v>
      </c>
    </row>
    <row r="9" spans="1:11" ht="18" customHeight="1">
      <c r="A9" s="76">
        <v>1990</v>
      </c>
      <c r="B9" s="138">
        <v>0.20518977615576725</v>
      </c>
      <c r="C9" s="138">
        <v>0.21040840083919626</v>
      </c>
      <c r="D9" s="138">
        <v>0.06433499058262006</v>
      </c>
      <c r="E9" s="138">
        <v>0.38827344335841246</v>
      </c>
      <c r="F9" s="138">
        <v>0.11709081091177066</v>
      </c>
      <c r="G9" s="138">
        <v>0.0034128178076783316</v>
      </c>
      <c r="H9" s="138" t="s">
        <v>16</v>
      </c>
      <c r="I9" s="138">
        <v>0.011022541610764939</v>
      </c>
      <c r="J9" s="138" t="s">
        <v>16</v>
      </c>
      <c r="K9" s="138">
        <v>0.00026721873379004007</v>
      </c>
    </row>
    <row r="10" spans="1:11" ht="12.75" customHeight="1">
      <c r="A10" s="76">
        <v>1991</v>
      </c>
      <c r="B10" s="138">
        <v>0.21325347069052975</v>
      </c>
      <c r="C10" s="138">
        <v>0.2404749062722276</v>
      </c>
      <c r="D10" s="138">
        <v>0.06405604868837794</v>
      </c>
      <c r="E10" s="138">
        <v>0.326853703439566</v>
      </c>
      <c r="F10" s="138">
        <v>0.14517815597397066</v>
      </c>
      <c r="G10" s="138">
        <v>0.002136681493712281</v>
      </c>
      <c r="H10" s="138" t="s">
        <v>16</v>
      </c>
      <c r="I10" s="138">
        <v>0.007789158088926379</v>
      </c>
      <c r="J10" s="138" t="s">
        <v>16</v>
      </c>
      <c r="K10" s="138">
        <v>0.00025787535268941323</v>
      </c>
    </row>
    <row r="11" spans="1:11" ht="12.75" customHeight="1">
      <c r="A11" s="76">
        <v>1992</v>
      </c>
      <c r="B11" s="138">
        <v>0.2147209851462097</v>
      </c>
      <c r="C11" s="138">
        <v>0.2586073090604172</v>
      </c>
      <c r="D11" s="138">
        <v>0.06985864423000093</v>
      </c>
      <c r="E11" s="138">
        <v>0.28349128821937286</v>
      </c>
      <c r="F11" s="138">
        <v>0.1581511242059013</v>
      </c>
      <c r="G11" s="138">
        <v>0.003948336399363344</v>
      </c>
      <c r="H11" s="138" t="s">
        <v>16</v>
      </c>
      <c r="I11" s="138">
        <v>0.010921067253972905</v>
      </c>
      <c r="J11" s="138" t="s">
        <v>16</v>
      </c>
      <c r="K11" s="138">
        <v>0.0003012454847618462</v>
      </c>
    </row>
    <row r="12" spans="1:11" ht="12.75" customHeight="1">
      <c r="A12" s="76">
        <v>1993</v>
      </c>
      <c r="B12" s="138">
        <v>0.21224343316029753</v>
      </c>
      <c r="C12" s="138">
        <v>0.23567224727439295</v>
      </c>
      <c r="D12" s="138">
        <v>0.06699254025404434</v>
      </c>
      <c r="E12" s="138">
        <v>0.3044492474880953</v>
      </c>
      <c r="F12" s="138">
        <v>0.1675985713499949</v>
      </c>
      <c r="G12" s="138">
        <v>0.0030387216089174307</v>
      </c>
      <c r="H12" s="138" t="s">
        <v>16</v>
      </c>
      <c r="I12" s="138">
        <v>0.009737434615637785</v>
      </c>
      <c r="J12" s="138" t="s">
        <v>16</v>
      </c>
      <c r="K12" s="138">
        <v>0.00026780424861972606</v>
      </c>
    </row>
    <row r="13" spans="1:11" ht="12.75" customHeight="1">
      <c r="A13" s="76">
        <v>1994</v>
      </c>
      <c r="B13" s="138">
        <v>0.2252286461227183</v>
      </c>
      <c r="C13" s="138">
        <v>0.22960286725541823</v>
      </c>
      <c r="D13" s="138">
        <v>0.057471681571592506</v>
      </c>
      <c r="E13" s="138">
        <v>0.29661314295233865</v>
      </c>
      <c r="F13" s="138">
        <v>0.17575713579722974</v>
      </c>
      <c r="G13" s="138">
        <v>0.0024449104075750343</v>
      </c>
      <c r="H13" s="138" t="s">
        <v>16</v>
      </c>
      <c r="I13" s="138">
        <v>0.012685241284829736</v>
      </c>
      <c r="J13" s="138" t="s">
        <v>16</v>
      </c>
      <c r="K13" s="138">
        <v>0.0001963746082978044</v>
      </c>
    </row>
    <row r="14" spans="1:11" ht="18" customHeight="1">
      <c r="A14" s="76">
        <v>1995</v>
      </c>
      <c r="B14" s="140">
        <v>0.23950296542471233</v>
      </c>
      <c r="C14" s="140">
        <v>0.2120077181637597</v>
      </c>
      <c r="D14" s="140">
        <v>0.060318303141785705</v>
      </c>
      <c r="E14" s="140">
        <v>0.28056188990712605</v>
      </c>
      <c r="F14" s="140">
        <v>0.19573509820747068</v>
      </c>
      <c r="G14" s="140">
        <v>0.0021419326699252364</v>
      </c>
      <c r="H14" s="138" t="s">
        <v>16</v>
      </c>
      <c r="I14" s="140">
        <v>0.009539612479910493</v>
      </c>
      <c r="J14" s="138" t="s">
        <v>16</v>
      </c>
      <c r="K14" s="140">
        <v>0.00019248000530979324</v>
      </c>
    </row>
    <row r="15" spans="1:11" ht="12.75" customHeight="1">
      <c r="A15" s="76">
        <v>1996</v>
      </c>
      <c r="B15" s="140">
        <v>0.22934969984990283</v>
      </c>
      <c r="C15" s="140">
        <v>0.24941336510404644</v>
      </c>
      <c r="D15" s="140">
        <v>0.06034401172473755</v>
      </c>
      <c r="E15" s="140">
        <v>0.24129555873380618</v>
      </c>
      <c r="F15" s="140">
        <v>0.2088146039142014</v>
      </c>
      <c r="G15" s="140">
        <v>0.0023960707623644417</v>
      </c>
      <c r="H15" s="138" t="s">
        <v>16</v>
      </c>
      <c r="I15" s="140">
        <v>0.008255786081915725</v>
      </c>
      <c r="J15" s="138" t="s">
        <v>16</v>
      </c>
      <c r="K15" s="140">
        <v>0.00013090382902544752</v>
      </c>
    </row>
    <row r="16" spans="1:11" ht="12.75" customHeight="1">
      <c r="A16" s="76">
        <v>1997</v>
      </c>
      <c r="B16" s="140">
        <v>0.23159018424544486</v>
      </c>
      <c r="C16" s="140">
        <v>0.2216599412785243</v>
      </c>
      <c r="D16" s="140">
        <v>0.058235207736673136</v>
      </c>
      <c r="E16" s="140">
        <v>0.2751643682517127</v>
      </c>
      <c r="F16" s="140">
        <v>0.20136330901407187</v>
      </c>
      <c r="G16" s="140">
        <v>0.0017076535767076755</v>
      </c>
      <c r="H16" s="138" t="s">
        <v>16</v>
      </c>
      <c r="I16" s="140">
        <v>0.009971571349055118</v>
      </c>
      <c r="J16" s="140">
        <v>0.00017058949221487594</v>
      </c>
      <c r="K16" s="140">
        <v>0.00013717505559546724</v>
      </c>
    </row>
    <row r="17" spans="1:11" ht="12.75" customHeight="1">
      <c r="A17" s="76">
        <v>1998</v>
      </c>
      <c r="B17" s="140">
        <v>0.22893036582659052</v>
      </c>
      <c r="C17" s="140">
        <v>0.2103480699771989</v>
      </c>
      <c r="D17" s="140">
        <v>0.07052603966988842</v>
      </c>
      <c r="E17" s="140">
        <v>0.27413628200730444</v>
      </c>
      <c r="F17" s="140">
        <v>0.20372727456163361</v>
      </c>
      <c r="G17" s="140">
        <v>0.0016093948626889163</v>
      </c>
      <c r="H17" s="138" t="s">
        <v>16</v>
      </c>
      <c r="I17" s="140">
        <v>0.010238301822070663</v>
      </c>
      <c r="J17" s="140">
        <v>0.00035190379144050524</v>
      </c>
      <c r="K17" s="140">
        <v>0.00013236748118404326</v>
      </c>
    </row>
    <row r="18" spans="1:11" ht="12.75" customHeight="1">
      <c r="A18" s="76">
        <v>1999</v>
      </c>
      <c r="B18" s="140">
        <v>0.24344118707603396</v>
      </c>
      <c r="C18" s="141">
        <v>0.1929188336844294</v>
      </c>
      <c r="D18" s="140">
        <v>0.08424572929378944</v>
      </c>
      <c r="E18" s="140">
        <v>0.24191055672862624</v>
      </c>
      <c r="F18" s="140">
        <v>0.22405787845557334</v>
      </c>
      <c r="G18" s="140">
        <v>0.0013391984117750444</v>
      </c>
      <c r="H18" s="138" t="s">
        <v>16</v>
      </c>
      <c r="I18" s="140">
        <v>0.011487566413266894</v>
      </c>
      <c r="J18" s="140">
        <v>0.0005280880982969984</v>
      </c>
      <c r="K18" s="140">
        <v>7.096183820865917E-05</v>
      </c>
    </row>
    <row r="19" spans="1:11" ht="18" customHeight="1">
      <c r="A19" s="76">
        <v>2000</v>
      </c>
      <c r="B19" s="140">
        <v>0.2501903238446162</v>
      </c>
      <c r="C19" s="140">
        <v>0.22478343673088663</v>
      </c>
      <c r="D19" s="140">
        <v>0.06613991764092869</v>
      </c>
      <c r="E19" s="140">
        <v>0.214994288213673</v>
      </c>
      <c r="F19" s="140">
        <v>0.22142429335800848</v>
      </c>
      <c r="G19" s="140">
        <v>0.001269930157983288</v>
      </c>
      <c r="H19" s="138" t="s">
        <v>16</v>
      </c>
      <c r="I19" s="140">
        <v>0.02023190101006252</v>
      </c>
      <c r="J19" s="140">
        <v>0.0008109991028477749</v>
      </c>
      <c r="K19" s="140">
        <v>0.00015490994099339521</v>
      </c>
    </row>
    <row r="20" spans="1:11" ht="12.75" customHeight="1">
      <c r="A20" s="76">
        <v>2001</v>
      </c>
      <c r="B20" s="140">
        <v>0.25784517279616204</v>
      </c>
      <c r="C20" s="140">
        <v>0.2161514973035046</v>
      </c>
      <c r="D20" s="140">
        <v>0.06299746967059652</v>
      </c>
      <c r="E20" s="140">
        <v>0.20538279046964097</v>
      </c>
      <c r="F20" s="140">
        <v>0.24331140819905697</v>
      </c>
      <c r="G20" s="140">
        <v>0.0008933477672886649</v>
      </c>
      <c r="H20" s="138" t="s">
        <v>16</v>
      </c>
      <c r="I20" s="140">
        <v>0.012292169140510607</v>
      </c>
      <c r="J20" s="140">
        <v>0.001043061665674058</v>
      </c>
      <c r="K20" s="140">
        <v>8.30829875655204E-05</v>
      </c>
    </row>
    <row r="21" spans="1:11" ht="12.75" customHeight="1">
      <c r="A21" s="76">
        <v>2002</v>
      </c>
      <c r="B21" s="140">
        <v>0.2581129554314477</v>
      </c>
      <c r="C21" s="140">
        <v>0.19464282239389752</v>
      </c>
      <c r="D21" s="141">
        <v>0.05413123431084473</v>
      </c>
      <c r="E21" s="140">
        <v>0.23237463270349687</v>
      </c>
      <c r="F21" s="140">
        <v>0.24571163089377104</v>
      </c>
      <c r="G21" s="140">
        <v>0.000953511451867131</v>
      </c>
      <c r="H21" s="138" t="s">
        <v>16</v>
      </c>
      <c r="I21" s="140">
        <v>0.012670513144836443</v>
      </c>
      <c r="J21" s="140">
        <v>0.001326483618413798</v>
      </c>
      <c r="K21" s="140">
        <v>7.621605142475367E-05</v>
      </c>
    </row>
    <row r="22" spans="1:11" ht="12.75" customHeight="1">
      <c r="A22" s="76">
        <v>2003</v>
      </c>
      <c r="B22" s="140">
        <v>0.25456913211592797</v>
      </c>
      <c r="C22" s="140">
        <v>0.17731523033739977</v>
      </c>
      <c r="D22" s="140">
        <v>0.07171656628041519</v>
      </c>
      <c r="E22" s="140">
        <v>0.2273350810170345</v>
      </c>
      <c r="F22" s="140">
        <v>0.25039894459265943</v>
      </c>
      <c r="G22" s="140">
        <v>0.000977085982021618</v>
      </c>
      <c r="H22" s="138" t="s">
        <v>16</v>
      </c>
      <c r="I22" s="140">
        <v>0.015963190506277293</v>
      </c>
      <c r="J22" s="140">
        <v>0.0016467567696996754</v>
      </c>
      <c r="K22" s="140">
        <v>7.801239856457186E-05</v>
      </c>
    </row>
    <row r="23" spans="1:11" ht="12.75" customHeight="1">
      <c r="A23" s="76" t="s">
        <v>11</v>
      </c>
      <c r="B23" s="140">
        <v>0.2620729241108763</v>
      </c>
      <c r="C23" s="140">
        <v>0.16889093314276157</v>
      </c>
      <c r="D23" s="140">
        <v>0.07239725090090775</v>
      </c>
      <c r="E23" s="140">
        <v>0.2162497909285812</v>
      </c>
      <c r="F23" s="140">
        <v>0.2603874283455228</v>
      </c>
      <c r="G23" s="140">
        <v>0.0008742986604224003</v>
      </c>
      <c r="H23" s="138" t="s">
        <v>16</v>
      </c>
      <c r="I23" s="140">
        <v>0.017183389845971384</v>
      </c>
      <c r="J23" s="140">
        <v>0.001884683807988809</v>
      </c>
      <c r="K23" s="140">
        <v>5.9300256967780196E-05</v>
      </c>
    </row>
    <row r="24" spans="1:11" ht="18" customHeight="1">
      <c r="A24" s="76">
        <v>2005</v>
      </c>
      <c r="B24" s="140">
        <v>0.26544451101120253</v>
      </c>
      <c r="C24" s="140">
        <v>0.1614144492294</v>
      </c>
      <c r="D24" s="140">
        <v>0.07696228070241377</v>
      </c>
      <c r="E24" s="141">
        <v>0.20548707197553684</v>
      </c>
      <c r="F24" s="140">
        <v>0.2686685303688492</v>
      </c>
      <c r="G24" s="140">
        <v>0.0007682321714886641</v>
      </c>
      <c r="H24" s="138" t="s">
        <v>16</v>
      </c>
      <c r="I24" s="140">
        <v>0.018808909388443592</v>
      </c>
      <c r="J24" s="140">
        <v>0.0023933965107826873</v>
      </c>
      <c r="K24" s="140">
        <v>5.261864188278521E-05</v>
      </c>
    </row>
    <row r="25" spans="1:11" ht="12.75" customHeight="1">
      <c r="A25" s="76">
        <v>2006</v>
      </c>
      <c r="B25" s="140">
        <v>0.2720862966066624</v>
      </c>
      <c r="C25" s="140">
        <v>0.14468481179133647</v>
      </c>
      <c r="D25" s="140">
        <v>0.08189827203548712</v>
      </c>
      <c r="E25" s="140">
        <v>0.2081686934008044</v>
      </c>
      <c r="F25" s="140">
        <v>0.26809811975428827</v>
      </c>
      <c r="G25" s="140">
        <v>0.0011288543417078175</v>
      </c>
      <c r="H25" s="138" t="s">
        <v>16</v>
      </c>
      <c r="I25" s="140">
        <v>0.021045438412269683</v>
      </c>
      <c r="J25" s="140">
        <v>0.002854904294064715</v>
      </c>
      <c r="K25" s="140">
        <v>3.4609363379169874E-05</v>
      </c>
    </row>
    <row r="26" spans="1:11" ht="12.75" customHeight="1">
      <c r="A26" s="76">
        <v>2007</v>
      </c>
      <c r="B26" s="140">
        <v>0.2993331969663345</v>
      </c>
      <c r="C26" s="140">
        <v>0.15597093961337585</v>
      </c>
      <c r="D26" s="140">
        <v>0.09653440910573523</v>
      </c>
      <c r="E26" s="140">
        <v>0.136459665247976</v>
      </c>
      <c r="F26" s="140">
        <v>0.27667073924866</v>
      </c>
      <c r="G26" s="140">
        <v>0.001342609448337573</v>
      </c>
      <c r="H26" s="138" t="s">
        <v>16</v>
      </c>
      <c r="I26" s="140">
        <v>0.03007366187249791</v>
      </c>
      <c r="J26" s="140">
        <v>0.0035839774567975923</v>
      </c>
      <c r="K26" s="140">
        <v>3.080104028539138E-05</v>
      </c>
    </row>
    <row r="27" spans="1:11" ht="12.75" customHeight="1">
      <c r="A27" s="76">
        <v>2008</v>
      </c>
      <c r="B27" s="138">
        <v>0.28733990594823133</v>
      </c>
      <c r="C27" s="138">
        <v>0.14778862303866655</v>
      </c>
      <c r="D27" s="138">
        <v>0.1022236504047261</v>
      </c>
      <c r="E27" s="138">
        <v>0.1600702487269092</v>
      </c>
      <c r="F27" s="138">
        <v>0.26858980366953644</v>
      </c>
      <c r="G27" s="138">
        <v>0.0009789000911954037</v>
      </c>
      <c r="H27" s="138" t="s">
        <v>16</v>
      </c>
      <c r="I27" s="142">
        <v>0.028589684654327766</v>
      </c>
      <c r="J27" s="139">
        <v>0.004396124269730118</v>
      </c>
      <c r="K27" s="138">
        <v>2.3059196677095373E-05</v>
      </c>
    </row>
    <row r="28" spans="1:11" ht="13.5" customHeight="1">
      <c r="A28" s="76">
        <v>2009</v>
      </c>
      <c r="B28" s="138">
        <v>0.28651716941756783</v>
      </c>
      <c r="C28" s="138">
        <v>0.13863782963384558</v>
      </c>
      <c r="D28" s="138">
        <v>0.09954923164484918</v>
      </c>
      <c r="E28" s="138">
        <v>0.18356289129197495</v>
      </c>
      <c r="F28" s="138">
        <v>0.21646822234870045</v>
      </c>
      <c r="G28" s="138">
        <v>0.0010184025801555682</v>
      </c>
      <c r="H28" s="138">
        <v>0.03296072851451338</v>
      </c>
      <c r="I28" s="138">
        <v>0.035824701195219126</v>
      </c>
      <c r="J28" s="138">
        <v>0.00544868146461772</v>
      </c>
      <c r="K28" s="138">
        <v>1.2141908556251185E-05</v>
      </c>
    </row>
    <row r="29" spans="1:11" ht="13.5" customHeight="1">
      <c r="A29" s="76">
        <v>2010</v>
      </c>
      <c r="B29" s="138">
        <v>0.29638138492329463</v>
      </c>
      <c r="C29" s="138">
        <v>0.1232025236525917</v>
      </c>
      <c r="D29" s="138">
        <v>0.09870535935686152</v>
      </c>
      <c r="E29" s="138">
        <v>0.1438889847315084</v>
      </c>
      <c r="F29" s="139">
        <v>0.22446080754144668</v>
      </c>
      <c r="G29" s="138">
        <v>0.001107562692158764</v>
      </c>
      <c r="H29" s="138">
        <v>0.06818478785212087</v>
      </c>
      <c r="I29" s="138">
        <v>0.03797699444314424</v>
      </c>
      <c r="J29" s="138">
        <v>0.0060796373149200715</v>
      </c>
      <c r="K29" s="138">
        <v>1.1957491953131057E-05</v>
      </c>
    </row>
    <row r="30" spans="1:11" ht="13.5" customHeight="1">
      <c r="A30" s="76">
        <v>2011</v>
      </c>
      <c r="B30" s="138">
        <v>0.31107574180059633</v>
      </c>
      <c r="C30" s="138">
        <v>0.12245608304101709</v>
      </c>
      <c r="D30" s="138">
        <v>0.10801778057732746</v>
      </c>
      <c r="E30" s="138">
        <v>0.13157024194311245</v>
      </c>
      <c r="F30" s="139">
        <v>0.20751349450896925</v>
      </c>
      <c r="G30" s="138">
        <v>0.00091860223421873</v>
      </c>
      <c r="H30" s="138">
        <v>0.06824206949835179</v>
      </c>
      <c r="I30" s="138">
        <v>0.04315712027260615</v>
      </c>
      <c r="J30" s="138">
        <v>0.00703636813421966</v>
      </c>
      <c r="K30" s="138">
        <v>1.2497989581207211E-05</v>
      </c>
    </row>
    <row r="31" spans="1:11" ht="13.5" customHeight="1">
      <c r="A31" s="76">
        <v>2012</v>
      </c>
      <c r="B31" s="138">
        <v>0.305297306352937</v>
      </c>
      <c r="C31" s="138">
        <v>0.12246713593983878</v>
      </c>
      <c r="D31" s="138">
        <v>0.11531395010704115</v>
      </c>
      <c r="E31" s="138">
        <v>0.13308960934482886</v>
      </c>
      <c r="F31" s="138">
        <v>0.20427990418279615</v>
      </c>
      <c r="G31" s="138">
        <v>0.0008690221537837804</v>
      </c>
      <c r="H31" s="138">
        <v>0.06889490354990623</v>
      </c>
      <c r="I31" s="138">
        <v>0.042578307178214876</v>
      </c>
      <c r="J31" s="138">
        <v>0.007209861190653086</v>
      </c>
      <c r="K31" s="135" t="s">
        <v>16</v>
      </c>
    </row>
    <row r="32" spans="1:11" ht="13.5" customHeight="1">
      <c r="A32" s="4">
        <v>2013</v>
      </c>
      <c r="B32" s="138">
        <v>0.2977627657648253</v>
      </c>
      <c r="C32" s="138">
        <v>0.1154586675206764</v>
      </c>
      <c r="D32" s="138">
        <v>0.11840022388266566</v>
      </c>
      <c r="E32" s="138">
        <v>0.14045821043673043</v>
      </c>
      <c r="F32" s="138">
        <v>0.2114086973343454</v>
      </c>
      <c r="G32" s="138">
        <v>0.0007910501194021224</v>
      </c>
      <c r="H32" s="139">
        <v>0.07294396268779516</v>
      </c>
      <c r="I32" s="138">
        <v>0.03531636991597323</v>
      </c>
      <c r="J32" s="138">
        <v>0.0071858019700023175</v>
      </c>
      <c r="K32" s="138">
        <v>0.0002742503675839604</v>
      </c>
    </row>
    <row r="33" spans="1:11" ht="13.5" customHeight="1">
      <c r="A33" s="4">
        <v>2014</v>
      </c>
      <c r="B33" s="138">
        <v>0.3207497185099219</v>
      </c>
      <c r="C33" s="138">
        <v>0.11473423022284034</v>
      </c>
      <c r="D33" s="138">
        <v>0.12503241698582226</v>
      </c>
      <c r="E33" s="138">
        <v>0.10567334721285222</v>
      </c>
      <c r="F33" s="138">
        <v>0.19297033968496738</v>
      </c>
      <c r="G33" s="138">
        <v>0.0008169449758673216</v>
      </c>
      <c r="H33" s="139">
        <v>0.08506159842769487</v>
      </c>
      <c r="I33" s="138">
        <v>0.04203919553173903</v>
      </c>
      <c r="J33" s="138">
        <v>0.008210509792961578</v>
      </c>
      <c r="K33" s="138">
        <v>0.004711698655333216</v>
      </c>
    </row>
    <row r="34" spans="1:11" ht="13.5" customHeight="1">
      <c r="A34" s="4">
        <v>2015</v>
      </c>
      <c r="B34" s="138">
        <v>0.3183770542368076</v>
      </c>
      <c r="C34" s="138">
        <v>0.09171131820631101</v>
      </c>
      <c r="D34" s="138">
        <v>0.1115474766718644</v>
      </c>
      <c r="E34" s="138">
        <v>0.12733874411457155</v>
      </c>
      <c r="F34" s="138">
        <v>0.20504399274844576</v>
      </c>
      <c r="G34" s="138">
        <v>0.0008233177903503057</v>
      </c>
      <c r="H34" s="139">
        <v>0.08502810451869248</v>
      </c>
      <c r="I34" s="138">
        <v>0.04684936017399415</v>
      </c>
      <c r="J34" s="138">
        <v>0.00826177651559448</v>
      </c>
      <c r="K34" s="138">
        <v>0.005018855023368302</v>
      </c>
    </row>
    <row r="35" spans="1:11" ht="13.5" customHeight="1">
      <c r="A35" s="4">
        <v>2016</v>
      </c>
      <c r="B35" s="138">
        <v>0.32998573314487323</v>
      </c>
      <c r="C35" s="138">
        <v>0.08825894983141087</v>
      </c>
      <c r="D35" s="138">
        <v>0.11892768374583572</v>
      </c>
      <c r="E35" s="138">
        <v>0.10386091855319016</v>
      </c>
      <c r="F35" s="138">
        <v>0.209210811375995</v>
      </c>
      <c r="G35" s="138">
        <v>0.000835480006839355</v>
      </c>
      <c r="H35" s="139">
        <v>0.08921851102738479</v>
      </c>
      <c r="I35" s="138">
        <v>0.046531273133386696</v>
      </c>
      <c r="J35" s="138">
        <v>0.008533311539161802</v>
      </c>
      <c r="K35" s="138">
        <v>0.004637327641922202</v>
      </c>
    </row>
    <row r="36" spans="1:11" ht="13.5" customHeight="1">
      <c r="A36" s="4">
        <v>2017</v>
      </c>
      <c r="B36" s="138">
        <v>0.32762186744968</v>
      </c>
      <c r="C36" s="138">
        <v>0.08417033554858605</v>
      </c>
      <c r="D36" s="138">
        <v>0.12227538315666801</v>
      </c>
      <c r="E36" s="138">
        <v>0.10907358362165395</v>
      </c>
      <c r="F36" s="138">
        <v>0.21379504246052045</v>
      </c>
      <c r="G36" s="138">
        <v>0.0007825708322512083</v>
      </c>
      <c r="H36" s="139">
        <v>0.08653528596632677</v>
      </c>
      <c r="I36" s="138">
        <v>0.04231521622200094</v>
      </c>
      <c r="J36" s="138">
        <v>0.008396687763949235</v>
      </c>
      <c r="K36" s="138">
        <v>0.005034026978363438</v>
      </c>
    </row>
    <row r="37" spans="1:11" ht="13.5" customHeight="1">
      <c r="A37" s="4">
        <v>2018</v>
      </c>
      <c r="B37" s="138">
        <v>0.3379675568503875</v>
      </c>
      <c r="C37" s="138">
        <v>0.08456964748309109</v>
      </c>
      <c r="D37" s="138">
        <v>0.12163868569610073</v>
      </c>
      <c r="E37" s="199">
        <v>0.09043059977583376</v>
      </c>
      <c r="F37" s="199">
        <v>0.20327290690419486</v>
      </c>
      <c r="G37" s="138">
        <v>0.0008753477452984181</v>
      </c>
      <c r="H37" s="199">
        <v>0.09566228016738655</v>
      </c>
      <c r="I37" s="138">
        <v>0.051649642079794694</v>
      </c>
      <c r="J37" s="138">
        <v>0.008479941595346397</v>
      </c>
      <c r="K37" s="138">
        <v>0.005453391702566017</v>
      </c>
    </row>
    <row r="38" spans="1:11" ht="13.5" customHeight="1">
      <c r="A38" s="4">
        <v>2019</v>
      </c>
      <c r="B38" s="138">
        <v>0.3320074735549286</v>
      </c>
      <c r="C38" s="138">
        <v>0.08169153847632064</v>
      </c>
      <c r="D38" s="138">
        <v>0.11554145793180674</v>
      </c>
      <c r="E38" s="138">
        <v>0.11050259964069152</v>
      </c>
      <c r="F38" s="138">
        <v>0.20210693915177497</v>
      </c>
      <c r="G38" s="138">
        <v>0.0008072231546076186</v>
      </c>
      <c r="H38" s="138">
        <v>0.09709536471530446</v>
      </c>
      <c r="I38" s="138">
        <v>0.04655315493514435</v>
      </c>
      <c r="J38" s="138">
        <v>0.00814214550240405</v>
      </c>
      <c r="K38" s="138">
        <v>0.005552102937017117</v>
      </c>
    </row>
    <row r="39" spans="2:11" ht="13.5" customHeight="1">
      <c r="B39" s="150"/>
      <c r="C39" s="150"/>
      <c r="D39" s="150"/>
      <c r="E39" s="150"/>
      <c r="F39" s="150"/>
      <c r="G39" s="150"/>
      <c r="H39" s="150"/>
      <c r="I39" s="150"/>
      <c r="J39" s="150"/>
      <c r="K39" s="150"/>
    </row>
    <row r="40" spans="1:11" ht="13.5" customHeight="1">
      <c r="A40" s="206" t="s">
        <v>12</v>
      </c>
      <c r="B40" s="206"/>
      <c r="C40" s="206"/>
      <c r="D40" s="206"/>
      <c r="E40" s="206"/>
      <c r="F40" s="206"/>
      <c r="G40" s="206"/>
      <c r="H40" s="206"/>
      <c r="I40" s="206"/>
      <c r="J40" s="206"/>
      <c r="K40" s="206"/>
    </row>
    <row r="41" spans="1:12" ht="25.5" customHeight="1">
      <c r="A41" s="204" t="s">
        <v>128</v>
      </c>
      <c r="B41" s="204"/>
      <c r="C41" s="204"/>
      <c r="D41" s="204"/>
      <c r="E41" s="204"/>
      <c r="F41" s="204"/>
      <c r="G41" s="204"/>
      <c r="H41" s="204"/>
      <c r="I41" s="204"/>
      <c r="J41" s="204"/>
      <c r="K41" s="204"/>
      <c r="L41" s="204"/>
    </row>
    <row r="42" spans="1:12" ht="27.75" customHeight="1">
      <c r="A42" s="204" t="s">
        <v>129</v>
      </c>
      <c r="B42" s="204"/>
      <c r="C42" s="204"/>
      <c r="D42" s="204"/>
      <c r="E42" s="204"/>
      <c r="F42" s="204"/>
      <c r="G42" s="204"/>
      <c r="H42" s="204"/>
      <c r="I42" s="204"/>
      <c r="J42" s="204"/>
      <c r="K42" s="204"/>
      <c r="L42" s="204"/>
    </row>
    <row r="43" spans="1:12" ht="13.5" customHeight="1">
      <c r="A43" s="204" t="s">
        <v>55</v>
      </c>
      <c r="B43" s="204"/>
      <c r="C43" s="204"/>
      <c r="D43" s="204"/>
      <c r="E43" s="204"/>
      <c r="F43" s="204"/>
      <c r="G43" s="204"/>
      <c r="H43" s="204"/>
      <c r="I43" s="204"/>
      <c r="J43" s="204"/>
      <c r="K43" s="204"/>
      <c r="L43" s="204"/>
    </row>
    <row r="44" spans="1:12" ht="19.5" customHeight="1">
      <c r="A44" s="205" t="s">
        <v>192</v>
      </c>
      <c r="B44" s="205"/>
      <c r="C44" s="205"/>
      <c r="D44" s="205"/>
      <c r="E44" s="205"/>
      <c r="F44" s="205"/>
      <c r="G44" s="205"/>
      <c r="H44" s="205"/>
      <c r="I44" s="205"/>
      <c r="J44" s="205"/>
      <c r="K44" s="205"/>
      <c r="L44" s="205"/>
    </row>
    <row r="45" spans="1:12" ht="31.5" customHeight="1">
      <c r="A45" s="203" t="s">
        <v>130</v>
      </c>
      <c r="B45" s="203"/>
      <c r="C45" s="203"/>
      <c r="D45" s="203"/>
      <c r="E45" s="203"/>
      <c r="F45" s="203"/>
      <c r="G45" s="203"/>
      <c r="H45" s="203"/>
      <c r="I45" s="203"/>
      <c r="J45" s="203"/>
      <c r="K45" s="203"/>
      <c r="L45" s="203"/>
    </row>
  </sheetData>
  <sheetProtection/>
  <mergeCells count="7">
    <mergeCell ref="A43:L43"/>
    <mergeCell ref="A44:L44"/>
    <mergeCell ref="A45:L45"/>
    <mergeCell ref="A1:K1"/>
    <mergeCell ref="A40:K40"/>
    <mergeCell ref="A41:L41"/>
    <mergeCell ref="A42:L42"/>
  </mergeCells>
  <printOptions/>
  <pageMargins left="0.787401575" right="0.787401575" top="0.984251969" bottom="0.984251969" header="0.511811023" footer="0.511811023"/>
  <pageSetup horizontalDpi="300" verticalDpi="300" orientation="portrait" paperSize="9" scale="77" r:id="rId2"/>
  <headerFooter alignWithMargins="0">
    <oddFooter>&amp;CSeite &amp;P</oddFooter>
  </headerFooter>
  <drawing r:id="rId1"/>
</worksheet>
</file>

<file path=xl/worksheets/sheet4.xml><?xml version="1.0" encoding="utf-8"?>
<worksheet xmlns="http://schemas.openxmlformats.org/spreadsheetml/2006/main" xmlns:r="http://schemas.openxmlformats.org/officeDocument/2006/relationships">
  <sheetPr>
    <tabColor rgb="FF92D050"/>
  </sheetPr>
  <dimension ref="A1:L46"/>
  <sheetViews>
    <sheetView showGridLines="0" zoomScale="130" zoomScaleNormal="130" zoomScalePageLayoutView="0" workbookViewId="0" topLeftCell="A1">
      <pane ySplit="4" topLeftCell="A27" activePane="bottomLeft" state="frozen"/>
      <selection pane="topLeft" activeCell="H30" sqref="H30"/>
      <selection pane="bottomLeft" activeCell="M34" sqref="M34"/>
    </sheetView>
  </sheetViews>
  <sheetFormatPr defaultColWidth="11.421875" defaultRowHeight="12.75"/>
  <cols>
    <col min="1" max="1" width="4.7109375" style="23" customWidth="1"/>
    <col min="2" max="10" width="8.7109375" style="21" customWidth="1"/>
    <col min="11" max="11" width="13.57421875" style="21" bestFit="1" customWidth="1"/>
    <col min="12" max="12" width="18.28125" style="21" bestFit="1" customWidth="1"/>
    <col min="13" max="16384" width="11.421875" style="21" customWidth="1"/>
  </cols>
  <sheetData>
    <row r="1" spans="1:12" ht="12.75">
      <c r="A1" s="202" t="s">
        <v>193</v>
      </c>
      <c r="B1" s="202"/>
      <c r="C1" s="202"/>
      <c r="D1" s="202"/>
      <c r="E1" s="202"/>
      <c r="F1" s="202"/>
      <c r="G1" s="202"/>
      <c r="H1" s="202"/>
      <c r="I1" s="202"/>
      <c r="J1" s="202"/>
      <c r="K1" s="202"/>
      <c r="L1" s="202"/>
    </row>
    <row r="2" ht="12">
      <c r="L2" s="100" t="s">
        <v>87</v>
      </c>
    </row>
    <row r="3" spans="1:12" s="19" customFormat="1" ht="20.25" customHeight="1">
      <c r="A3" s="207" t="s">
        <v>0</v>
      </c>
      <c r="B3" s="24" t="s">
        <v>1</v>
      </c>
      <c r="C3" s="24" t="s">
        <v>4</v>
      </c>
      <c r="D3" s="24" t="s">
        <v>83</v>
      </c>
      <c r="E3" s="24" t="s">
        <v>3</v>
      </c>
      <c r="F3" s="24" t="s">
        <v>5</v>
      </c>
      <c r="G3" s="126" t="s">
        <v>78</v>
      </c>
      <c r="H3" s="24" t="s">
        <v>6</v>
      </c>
      <c r="I3" s="24" t="s">
        <v>2</v>
      </c>
      <c r="J3" s="24" t="s">
        <v>77</v>
      </c>
      <c r="K3" s="104" t="s">
        <v>98</v>
      </c>
      <c r="L3" s="104" t="s">
        <v>132</v>
      </c>
    </row>
    <row r="4" spans="1:12" s="19" customFormat="1" ht="20.25" customHeight="1">
      <c r="A4" s="207"/>
      <c r="B4" s="24" t="s">
        <v>32</v>
      </c>
      <c r="C4" s="24" t="s">
        <v>104</v>
      </c>
      <c r="D4" s="24" t="s">
        <v>104</v>
      </c>
      <c r="E4" s="24" t="s">
        <v>104</v>
      </c>
      <c r="F4" s="24" t="s">
        <v>32</v>
      </c>
      <c r="G4" s="24" t="s">
        <v>32</v>
      </c>
      <c r="H4" s="24" t="s">
        <v>104</v>
      </c>
      <c r="I4" s="24" t="s">
        <v>104</v>
      </c>
      <c r="J4" s="24" t="s">
        <v>104</v>
      </c>
      <c r="K4" s="24" t="s">
        <v>32</v>
      </c>
      <c r="L4" s="24" t="s">
        <v>32</v>
      </c>
    </row>
    <row r="5" spans="1:12" ht="18" customHeight="1">
      <c r="A5" s="20">
        <v>1985</v>
      </c>
      <c r="B5" s="25">
        <v>172982</v>
      </c>
      <c r="C5" s="26">
        <v>16976.583</v>
      </c>
      <c r="D5" s="26">
        <v>3786.155</v>
      </c>
      <c r="E5" s="26">
        <v>33971.361</v>
      </c>
      <c r="F5" s="16" t="s">
        <v>16</v>
      </c>
      <c r="G5" s="27" t="s">
        <v>16</v>
      </c>
      <c r="H5" s="26">
        <v>2609.945</v>
      </c>
      <c r="I5" s="26">
        <v>2861.747751902237</v>
      </c>
      <c r="J5" s="27" t="s">
        <v>16</v>
      </c>
      <c r="K5" s="27" t="s">
        <v>16</v>
      </c>
      <c r="L5" s="27" t="s">
        <v>16</v>
      </c>
    </row>
    <row r="6" spans="1:12" ht="12.75" customHeight="1">
      <c r="A6" s="20">
        <v>1986</v>
      </c>
      <c r="B6" s="25">
        <v>183170</v>
      </c>
      <c r="C6" s="26">
        <v>16580.535</v>
      </c>
      <c r="D6" s="26">
        <v>4061.902</v>
      </c>
      <c r="E6" s="26">
        <v>42171.559</v>
      </c>
      <c r="F6" s="130">
        <v>2984</v>
      </c>
      <c r="G6" s="27" t="s">
        <v>16</v>
      </c>
      <c r="H6" s="26">
        <v>2493.208</v>
      </c>
      <c r="I6" s="26">
        <v>3507.3783721466452</v>
      </c>
      <c r="J6" s="27" t="s">
        <v>16</v>
      </c>
      <c r="K6" s="27" t="s">
        <v>16</v>
      </c>
      <c r="L6" s="27" t="s">
        <v>16</v>
      </c>
    </row>
    <row r="7" spans="1:12" ht="12.75" customHeight="1">
      <c r="A7" s="20">
        <v>1987</v>
      </c>
      <c r="B7" s="25">
        <v>196823</v>
      </c>
      <c r="C7" s="26">
        <v>16705.361</v>
      </c>
      <c r="D7" s="26">
        <v>4212.889</v>
      </c>
      <c r="E7" s="26">
        <v>19622.05</v>
      </c>
      <c r="F7" s="130">
        <v>52100</v>
      </c>
      <c r="G7" s="27" t="s">
        <v>16</v>
      </c>
      <c r="H7" s="26">
        <v>1692.151</v>
      </c>
      <c r="I7" s="26">
        <v>2732.7415264007377</v>
      </c>
      <c r="J7" s="27" t="s">
        <v>16</v>
      </c>
      <c r="K7" s="27" t="s">
        <v>16</v>
      </c>
      <c r="L7" s="27" t="s">
        <v>16</v>
      </c>
    </row>
    <row r="8" spans="1:12" ht="12.75" customHeight="1">
      <c r="A8" s="20">
        <v>1988</v>
      </c>
      <c r="B8" s="25">
        <v>204672</v>
      </c>
      <c r="C8" s="26">
        <v>18403.708</v>
      </c>
      <c r="D8" s="26">
        <v>4960.805</v>
      </c>
      <c r="E8" s="26">
        <v>30253.414</v>
      </c>
      <c r="F8" s="130">
        <v>90876</v>
      </c>
      <c r="G8" s="27" t="s">
        <v>16</v>
      </c>
      <c r="H8" s="26">
        <v>496.885</v>
      </c>
      <c r="I8" s="26">
        <v>2331.358081623242</v>
      </c>
      <c r="J8" s="27" t="s">
        <v>16</v>
      </c>
      <c r="K8" s="27" t="s">
        <v>16</v>
      </c>
      <c r="L8" s="27" t="s">
        <v>16</v>
      </c>
    </row>
    <row r="9" spans="1:12" ht="12.75" customHeight="1">
      <c r="A9" s="20">
        <v>1989</v>
      </c>
      <c r="B9" s="25">
        <v>215127</v>
      </c>
      <c r="C9" s="26">
        <v>19311.318</v>
      </c>
      <c r="D9" s="26">
        <v>4900.396</v>
      </c>
      <c r="E9" s="26">
        <v>30914.996</v>
      </c>
      <c r="F9" s="130">
        <v>112306</v>
      </c>
      <c r="G9" s="27" t="s">
        <v>16</v>
      </c>
      <c r="H9" s="26">
        <v>280.844</v>
      </c>
      <c r="I9" s="26">
        <v>1948.0977634309431</v>
      </c>
      <c r="J9" s="27" t="s">
        <v>16</v>
      </c>
      <c r="K9" s="27" t="s">
        <v>16</v>
      </c>
      <c r="L9" s="27" t="s">
        <v>16</v>
      </c>
    </row>
    <row r="10" spans="1:12" ht="18" customHeight="1">
      <c r="A10" s="20">
        <v>1990</v>
      </c>
      <c r="B10" s="25">
        <v>221915</v>
      </c>
      <c r="C10" s="26">
        <v>19273.195</v>
      </c>
      <c r="D10" s="26">
        <v>5851.893</v>
      </c>
      <c r="E10" s="26">
        <v>35484.355</v>
      </c>
      <c r="F10" s="130">
        <v>126635</v>
      </c>
      <c r="G10" s="27" t="s">
        <v>16</v>
      </c>
      <c r="H10" s="26">
        <v>288.823</v>
      </c>
      <c r="I10" s="26">
        <v>2860.825455383906</v>
      </c>
      <c r="J10" s="27" t="s">
        <v>16</v>
      </c>
      <c r="K10" s="27" t="s">
        <v>16</v>
      </c>
      <c r="L10" s="27" t="s">
        <v>16</v>
      </c>
    </row>
    <row r="11" spans="1:12" ht="12.75" customHeight="1">
      <c r="A11" s="20">
        <v>1991</v>
      </c>
      <c r="B11" s="25">
        <v>225761</v>
      </c>
      <c r="C11" s="26">
        <v>21561.729</v>
      </c>
      <c r="D11" s="26">
        <v>5703.341</v>
      </c>
      <c r="E11" s="26">
        <v>29239.845</v>
      </c>
      <c r="F11" s="130">
        <v>153693</v>
      </c>
      <c r="G11" s="27" t="s">
        <v>16</v>
      </c>
      <c r="H11" s="26">
        <v>176.975</v>
      </c>
      <c r="I11" s="26">
        <v>1978.9716393820613</v>
      </c>
      <c r="J11" s="27" t="s">
        <v>16</v>
      </c>
      <c r="K11" s="27" t="s">
        <v>16</v>
      </c>
      <c r="L11" s="27" t="s">
        <v>16</v>
      </c>
    </row>
    <row r="12" spans="1:12" ht="12.75" customHeight="1">
      <c r="A12" s="20">
        <v>1992</v>
      </c>
      <c r="B12" s="25">
        <v>233791</v>
      </c>
      <c r="C12" s="26">
        <v>23848.113</v>
      </c>
      <c r="D12" s="26">
        <v>6397.253</v>
      </c>
      <c r="E12" s="26">
        <v>26083.214</v>
      </c>
      <c r="F12" s="130">
        <v>172197</v>
      </c>
      <c r="G12" s="27" t="s">
        <v>16</v>
      </c>
      <c r="H12" s="26">
        <v>336.405</v>
      </c>
      <c r="I12" s="26">
        <v>2853.608485127969</v>
      </c>
      <c r="J12" s="27" t="s">
        <v>16</v>
      </c>
      <c r="K12" s="27" t="s">
        <v>16</v>
      </c>
      <c r="L12" s="27" t="s">
        <v>16</v>
      </c>
    </row>
    <row r="13" spans="1:12" ht="12.75" customHeight="1">
      <c r="A13" s="20">
        <v>1993</v>
      </c>
      <c r="B13" s="25">
        <v>235382</v>
      </c>
      <c r="C13" s="26">
        <v>22136.434</v>
      </c>
      <c r="D13" s="26">
        <v>6248.627</v>
      </c>
      <c r="E13" s="26">
        <v>28531.388</v>
      </c>
      <c r="F13" s="130">
        <v>185870</v>
      </c>
      <c r="G13" s="27" t="s">
        <v>16</v>
      </c>
      <c r="H13" s="26">
        <v>263.751</v>
      </c>
      <c r="I13" s="26">
        <v>2591.4918146184</v>
      </c>
      <c r="J13" s="27" t="s">
        <v>16</v>
      </c>
      <c r="K13" s="27" t="s">
        <v>16</v>
      </c>
      <c r="L13" s="27" t="s">
        <v>16</v>
      </c>
    </row>
    <row r="14" spans="1:12" ht="12.75" customHeight="1">
      <c r="A14" s="20">
        <v>1994</v>
      </c>
      <c r="B14" s="25">
        <v>242003</v>
      </c>
      <c r="C14" s="26">
        <v>20894.666</v>
      </c>
      <c r="D14" s="26">
        <v>5193.581</v>
      </c>
      <c r="E14" s="26">
        <v>26931.185</v>
      </c>
      <c r="F14" s="130">
        <v>188847</v>
      </c>
      <c r="G14" s="27" t="s">
        <v>16</v>
      </c>
      <c r="H14" s="26">
        <v>205.602</v>
      </c>
      <c r="I14" s="26">
        <v>3270.9246022596267</v>
      </c>
      <c r="J14" s="27" t="s">
        <v>16</v>
      </c>
      <c r="K14" s="27" t="s">
        <v>16</v>
      </c>
      <c r="L14" s="27" t="s">
        <v>16</v>
      </c>
    </row>
    <row r="15" spans="1:12" ht="18" customHeight="1">
      <c r="A15" s="20">
        <v>1995</v>
      </c>
      <c r="B15" s="25">
        <v>252593</v>
      </c>
      <c r="C15" s="26">
        <v>18937.455</v>
      </c>
      <c r="D15" s="26">
        <v>5350.308</v>
      </c>
      <c r="E15" s="26">
        <v>25003.908</v>
      </c>
      <c r="F15" s="130">
        <v>206433</v>
      </c>
      <c r="G15" s="27" t="s">
        <v>16</v>
      </c>
      <c r="H15" s="26">
        <v>176.78</v>
      </c>
      <c r="I15" s="26">
        <v>2414.3417108600415</v>
      </c>
      <c r="J15" s="27" t="s">
        <v>16</v>
      </c>
      <c r="K15" s="27" t="s">
        <v>16</v>
      </c>
      <c r="L15" s="27" t="s">
        <v>16</v>
      </c>
    </row>
    <row r="16" spans="1:12" ht="12.75" customHeight="1">
      <c r="A16" s="20">
        <v>1996</v>
      </c>
      <c r="B16" s="25">
        <v>259303</v>
      </c>
      <c r="C16" s="26">
        <v>23883</v>
      </c>
      <c r="D16" s="26">
        <v>5738</v>
      </c>
      <c r="E16" s="26">
        <v>23053</v>
      </c>
      <c r="F16" s="130">
        <v>236086</v>
      </c>
      <c r="G16" s="27" t="s">
        <v>16</v>
      </c>
      <c r="H16" s="25">
        <v>212</v>
      </c>
      <c r="I16" s="26">
        <v>2240.02766889555</v>
      </c>
      <c r="J16" s="27" t="s">
        <v>16</v>
      </c>
      <c r="K16" s="27" t="s">
        <v>16</v>
      </c>
      <c r="L16" s="27" t="s">
        <v>16</v>
      </c>
    </row>
    <row r="17" spans="1:12" ht="12.75" customHeight="1">
      <c r="A17" s="20">
        <v>1997</v>
      </c>
      <c r="B17" s="25">
        <v>263372</v>
      </c>
      <c r="C17" s="26">
        <v>21350</v>
      </c>
      <c r="D17" s="26">
        <v>5570</v>
      </c>
      <c r="E17" s="26">
        <v>26443</v>
      </c>
      <c r="F17" s="130">
        <v>228997</v>
      </c>
      <c r="G17" s="27" t="s">
        <v>16</v>
      </c>
      <c r="H17" s="25">
        <v>152</v>
      </c>
      <c r="I17" s="26">
        <v>2721.466451464146</v>
      </c>
      <c r="J17" s="27" t="s">
        <v>16</v>
      </c>
      <c r="K17" s="16">
        <v>194</v>
      </c>
      <c r="L17" s="27" t="s">
        <v>16</v>
      </c>
    </row>
    <row r="18" spans="1:12" ht="12.75" customHeight="1">
      <c r="A18" s="20">
        <v>1998</v>
      </c>
      <c r="B18" s="25">
        <v>283639</v>
      </c>
      <c r="C18" s="26">
        <v>22073</v>
      </c>
      <c r="D18" s="26">
        <v>7349</v>
      </c>
      <c r="E18" s="26">
        <v>28701</v>
      </c>
      <c r="F18" s="130">
        <v>252413</v>
      </c>
      <c r="G18" s="27" t="s">
        <v>16</v>
      </c>
      <c r="H18" s="25">
        <v>156</v>
      </c>
      <c r="I18" s="26">
        <v>3044.0396587502883</v>
      </c>
      <c r="J18" s="27" t="s">
        <v>16</v>
      </c>
      <c r="K18" s="16">
        <v>436</v>
      </c>
      <c r="L18" s="27" t="s">
        <v>16</v>
      </c>
    </row>
    <row r="19" spans="1:12" ht="12.75" customHeight="1">
      <c r="A19" s="20">
        <v>1999</v>
      </c>
      <c r="B19" s="25">
        <v>295031</v>
      </c>
      <c r="C19" s="28">
        <v>19802</v>
      </c>
      <c r="D19" s="26">
        <v>8587</v>
      </c>
      <c r="E19" s="26">
        <v>24774</v>
      </c>
      <c r="F19" s="130">
        <v>271540</v>
      </c>
      <c r="G19" s="27" t="s">
        <v>16</v>
      </c>
      <c r="H19" s="25">
        <v>127</v>
      </c>
      <c r="I19" s="26">
        <v>3341.0191376527555</v>
      </c>
      <c r="J19" s="27" t="s">
        <v>16</v>
      </c>
      <c r="K19" s="16">
        <v>640</v>
      </c>
      <c r="L19" s="27" t="s">
        <v>16</v>
      </c>
    </row>
    <row r="20" spans="1:12" ht="18" customHeight="1">
      <c r="A20" s="20">
        <v>2000</v>
      </c>
      <c r="B20" s="25">
        <v>302018</v>
      </c>
      <c r="C20" s="26">
        <v>22982</v>
      </c>
      <c r="D20" s="26">
        <v>6715</v>
      </c>
      <c r="E20" s="26">
        <v>21931</v>
      </c>
      <c r="F20" s="130">
        <v>267293</v>
      </c>
      <c r="G20" s="27" t="s">
        <v>16</v>
      </c>
      <c r="H20" s="25">
        <v>120</v>
      </c>
      <c r="I20" s="26">
        <v>5860.963799861656</v>
      </c>
      <c r="J20" s="27" t="s">
        <v>16</v>
      </c>
      <c r="K20" s="16">
        <v>979</v>
      </c>
      <c r="L20" s="27" t="s">
        <v>16</v>
      </c>
    </row>
    <row r="21" spans="1:12" ht="12.75" customHeight="1">
      <c r="A21" s="20">
        <v>2001</v>
      </c>
      <c r="B21" s="25">
        <v>313450</v>
      </c>
      <c r="C21" s="26">
        <v>22255</v>
      </c>
      <c r="D21" s="26">
        <v>6441</v>
      </c>
      <c r="E21" s="26">
        <v>21098</v>
      </c>
      <c r="F21" s="130">
        <v>295782</v>
      </c>
      <c r="G21" s="27" t="s">
        <v>16</v>
      </c>
      <c r="H21" s="25">
        <v>85</v>
      </c>
      <c r="I21" s="26">
        <v>3586.119437399124</v>
      </c>
      <c r="J21" s="27" t="s">
        <v>16</v>
      </c>
      <c r="K21" s="16">
        <v>1268</v>
      </c>
      <c r="L21" s="27" t="s">
        <v>16</v>
      </c>
    </row>
    <row r="22" spans="1:12" ht="12.75" customHeight="1">
      <c r="A22" s="20">
        <v>2002</v>
      </c>
      <c r="B22" s="25">
        <v>318340</v>
      </c>
      <c r="C22" s="26">
        <v>20332</v>
      </c>
      <c r="D22" s="28">
        <v>5615</v>
      </c>
      <c r="E22" s="26">
        <v>24218</v>
      </c>
      <c r="F22" s="130">
        <v>303045</v>
      </c>
      <c r="G22" s="27" t="s">
        <v>16</v>
      </c>
      <c r="H22" s="25">
        <v>92</v>
      </c>
      <c r="I22" s="26">
        <v>3750.2882176619787</v>
      </c>
      <c r="J22" s="27" t="s">
        <v>16</v>
      </c>
      <c r="K22" s="16">
        <v>1636</v>
      </c>
      <c r="L22" s="27" t="s">
        <v>16</v>
      </c>
    </row>
    <row r="23" spans="1:12" ht="12.75" customHeight="1">
      <c r="A23" s="20">
        <v>2003</v>
      </c>
      <c r="B23" s="25">
        <v>329582</v>
      </c>
      <c r="C23" s="26">
        <v>19443</v>
      </c>
      <c r="D23" s="26">
        <v>7809</v>
      </c>
      <c r="E23" s="26">
        <v>24871</v>
      </c>
      <c r="F23" s="130">
        <v>324183</v>
      </c>
      <c r="G23" s="27" t="s">
        <v>16</v>
      </c>
      <c r="H23" s="25">
        <v>99</v>
      </c>
      <c r="I23" s="26">
        <v>4959.649527323035</v>
      </c>
      <c r="J23" s="27" t="s">
        <v>16</v>
      </c>
      <c r="K23" s="16">
        <v>2132</v>
      </c>
      <c r="L23" s="27" t="s">
        <v>16</v>
      </c>
    </row>
    <row r="24" spans="1:12" ht="12.75" customHeight="1">
      <c r="A24" s="22">
        <v>2004</v>
      </c>
      <c r="B24" s="25">
        <v>344715</v>
      </c>
      <c r="C24" s="26">
        <v>18815</v>
      </c>
      <c r="D24" s="26">
        <v>8009</v>
      </c>
      <c r="E24" s="26">
        <v>24036</v>
      </c>
      <c r="F24" s="130">
        <v>342498</v>
      </c>
      <c r="G24" s="27" t="s">
        <v>16</v>
      </c>
      <c r="H24" s="25">
        <v>90</v>
      </c>
      <c r="I24" s="26">
        <v>5424.025824302514</v>
      </c>
      <c r="J24" s="27" t="s">
        <v>16</v>
      </c>
      <c r="K24" s="16">
        <v>2479</v>
      </c>
      <c r="L24" s="27" t="s">
        <v>16</v>
      </c>
    </row>
    <row r="25" spans="1:12" ht="18" customHeight="1">
      <c r="A25" s="22">
        <v>2005</v>
      </c>
      <c r="B25" s="25">
        <v>353128</v>
      </c>
      <c r="C25" s="26">
        <v>18187</v>
      </c>
      <c r="D25" s="26">
        <v>8611</v>
      </c>
      <c r="E25" s="28">
        <v>23100</v>
      </c>
      <c r="F25" s="130">
        <v>357417</v>
      </c>
      <c r="G25" s="27" t="s">
        <v>16</v>
      </c>
      <c r="H25" s="25">
        <v>80</v>
      </c>
      <c r="I25" s="26">
        <v>6004.842056721236</v>
      </c>
      <c r="J25" s="27" t="s">
        <v>16</v>
      </c>
      <c r="K25" s="16">
        <v>3184</v>
      </c>
      <c r="L25" s="27" t="s">
        <v>16</v>
      </c>
    </row>
    <row r="26" spans="1:12" ht="12.75" customHeight="1">
      <c r="A26" s="22">
        <v>2006</v>
      </c>
      <c r="B26" s="25">
        <v>369497</v>
      </c>
      <c r="C26" s="26">
        <v>16623</v>
      </c>
      <c r="D26" s="26">
        <v>9332</v>
      </c>
      <c r="E26" s="26">
        <v>23804</v>
      </c>
      <c r="F26" s="130">
        <v>364081</v>
      </c>
      <c r="G26" s="27" t="s">
        <v>16</v>
      </c>
      <c r="H26" s="25">
        <v>120</v>
      </c>
      <c r="I26" s="26">
        <v>6858.658058565829</v>
      </c>
      <c r="J26" s="27" t="s">
        <v>16</v>
      </c>
      <c r="K26" s="16">
        <v>3877</v>
      </c>
      <c r="L26" s="27" t="s">
        <v>16</v>
      </c>
    </row>
    <row r="27" spans="1:12" ht="12.75" customHeight="1">
      <c r="A27" s="22">
        <v>2007</v>
      </c>
      <c r="B27" s="25">
        <v>379013</v>
      </c>
      <c r="C27" s="26">
        <v>16708</v>
      </c>
      <c r="D27" s="26">
        <v>10256</v>
      </c>
      <c r="E27" s="26">
        <v>14549</v>
      </c>
      <c r="F27" s="130">
        <v>350318</v>
      </c>
      <c r="G27" s="27" t="s">
        <v>16</v>
      </c>
      <c r="H27" s="25">
        <v>133</v>
      </c>
      <c r="I27" s="26">
        <v>9138.113903620015</v>
      </c>
      <c r="J27" s="27" t="s">
        <v>16</v>
      </c>
      <c r="K27" s="16">
        <v>4538</v>
      </c>
      <c r="L27" s="27" t="s">
        <v>16</v>
      </c>
    </row>
    <row r="28" spans="1:12" ht="12.75" customHeight="1">
      <c r="A28" s="124">
        <v>2008</v>
      </c>
      <c r="B28" s="64">
        <v>386290</v>
      </c>
      <c r="C28" s="67">
        <v>16809</v>
      </c>
      <c r="D28" s="67">
        <v>11531</v>
      </c>
      <c r="E28" s="67">
        <v>18120</v>
      </c>
      <c r="F28" s="128">
        <v>361083</v>
      </c>
      <c r="G28" s="27" t="s">
        <v>16</v>
      </c>
      <c r="H28" s="64">
        <v>103</v>
      </c>
      <c r="I28" s="67">
        <v>9223.656905695181</v>
      </c>
      <c r="J28" s="125" t="s">
        <v>16</v>
      </c>
      <c r="K28" s="15">
        <v>5910</v>
      </c>
      <c r="L28" s="125" t="s">
        <v>16</v>
      </c>
    </row>
    <row r="29" spans="1:12" ht="12.75" customHeight="1">
      <c r="A29" s="22">
        <v>2009</v>
      </c>
      <c r="B29" s="64">
        <v>377558</v>
      </c>
      <c r="C29" s="67">
        <v>15456</v>
      </c>
      <c r="D29" s="67">
        <v>11007</v>
      </c>
      <c r="E29" s="67">
        <v>20368</v>
      </c>
      <c r="F29" s="130">
        <v>285251</v>
      </c>
      <c r="G29" s="27" t="s">
        <v>16</v>
      </c>
      <c r="H29" s="25">
        <v>105</v>
      </c>
      <c r="I29" s="67">
        <v>10116</v>
      </c>
      <c r="J29" s="67">
        <v>1011</v>
      </c>
      <c r="K29" s="15">
        <v>7180</v>
      </c>
      <c r="L29" s="26">
        <v>43434</v>
      </c>
    </row>
    <row r="30" spans="1:12" ht="12.75" customHeight="1">
      <c r="A30" s="22">
        <v>2010</v>
      </c>
      <c r="B30" s="128">
        <v>396580</v>
      </c>
      <c r="C30" s="128">
        <v>13947</v>
      </c>
      <c r="D30" s="128">
        <v>11082</v>
      </c>
      <c r="E30" s="146">
        <v>16212</v>
      </c>
      <c r="F30" s="130">
        <v>300345</v>
      </c>
      <c r="G30" s="178" t="s">
        <v>16</v>
      </c>
      <c r="H30" s="177">
        <v>116</v>
      </c>
      <c r="I30" s="146">
        <v>10647</v>
      </c>
      <c r="J30" s="146">
        <v>1290</v>
      </c>
      <c r="K30" s="128">
        <v>8135</v>
      </c>
      <c r="L30" s="130">
        <v>91236.24</v>
      </c>
    </row>
    <row r="31" spans="1:12" ht="12.75" customHeight="1">
      <c r="A31" s="22">
        <v>2011</v>
      </c>
      <c r="B31" s="128">
        <v>398241</v>
      </c>
      <c r="C31" s="128">
        <v>13263</v>
      </c>
      <c r="D31" s="128">
        <v>11603</v>
      </c>
      <c r="E31" s="146">
        <v>14183</v>
      </c>
      <c r="F31" s="130">
        <v>265660</v>
      </c>
      <c r="G31" s="178" t="s">
        <v>16</v>
      </c>
      <c r="H31" s="148">
        <v>92</v>
      </c>
      <c r="I31" s="146">
        <v>11681</v>
      </c>
      <c r="J31" s="146">
        <v>1315</v>
      </c>
      <c r="K31" s="128">
        <v>9008</v>
      </c>
      <c r="L31" s="130">
        <v>87363.9</v>
      </c>
    </row>
    <row r="32" spans="1:12" ht="12.75" customHeight="1">
      <c r="A32" s="22">
        <v>2012</v>
      </c>
      <c r="B32" s="128">
        <v>404008</v>
      </c>
      <c r="C32" s="128">
        <v>13711</v>
      </c>
      <c r="D32" s="128">
        <v>12804</v>
      </c>
      <c r="E32" s="146">
        <v>14830</v>
      </c>
      <c r="F32" s="128">
        <v>270329</v>
      </c>
      <c r="G32" s="178" t="s">
        <v>16</v>
      </c>
      <c r="H32" s="148">
        <v>90</v>
      </c>
      <c r="I32" s="146">
        <v>11807</v>
      </c>
      <c r="J32" s="128">
        <v>1429</v>
      </c>
      <c r="K32" s="128">
        <v>9541</v>
      </c>
      <c r="L32" s="128">
        <v>91170.448</v>
      </c>
    </row>
    <row r="33" spans="1:12" ht="12.75" customHeight="1">
      <c r="A33" s="22">
        <v>2013</v>
      </c>
      <c r="B33" s="128">
        <v>403892.8</v>
      </c>
      <c r="C33" s="128">
        <v>13234</v>
      </c>
      <c r="D33" s="128">
        <v>13445</v>
      </c>
      <c r="E33" s="146">
        <v>15986</v>
      </c>
      <c r="F33" s="128">
        <v>286760</v>
      </c>
      <c r="G33" s="135">
        <v>372</v>
      </c>
      <c r="H33" s="148">
        <v>84</v>
      </c>
      <c r="I33" s="146">
        <v>9737</v>
      </c>
      <c r="J33" s="128">
        <v>1466</v>
      </c>
      <c r="K33" s="128">
        <v>9882</v>
      </c>
      <c r="L33" s="128">
        <v>98943</v>
      </c>
    </row>
    <row r="34" spans="1:12" ht="12.75" customHeight="1">
      <c r="A34" s="124">
        <v>2014</v>
      </c>
      <c r="B34" s="128">
        <v>396367</v>
      </c>
      <c r="C34" s="128">
        <v>11981</v>
      </c>
      <c r="D34" s="128">
        <v>12935</v>
      </c>
      <c r="E34" s="128">
        <v>10957</v>
      </c>
      <c r="F34" s="128">
        <v>238463.3916</v>
      </c>
      <c r="G34" s="128">
        <v>5822.4888</v>
      </c>
      <c r="H34" s="148">
        <v>79</v>
      </c>
      <c r="I34" s="146">
        <v>10882</v>
      </c>
      <c r="J34" s="128">
        <v>1321</v>
      </c>
      <c r="K34" s="128">
        <v>10146.15</v>
      </c>
      <c r="L34" s="128">
        <v>105115</v>
      </c>
    </row>
    <row r="35" spans="1:12" ht="12.75" customHeight="1">
      <c r="A35" s="22">
        <v>2015</v>
      </c>
      <c r="B35" s="128">
        <v>395207</v>
      </c>
      <c r="C35" s="128">
        <v>9620</v>
      </c>
      <c r="D35" s="128">
        <v>11592</v>
      </c>
      <c r="E35" s="128">
        <v>13263</v>
      </c>
      <c r="F35" s="128">
        <v>254525</v>
      </c>
      <c r="G35" s="128">
        <v>6230</v>
      </c>
      <c r="H35" s="148">
        <v>80</v>
      </c>
      <c r="I35" s="146">
        <v>12215</v>
      </c>
      <c r="J35" s="128">
        <v>1451</v>
      </c>
      <c r="K35" s="128">
        <v>10255.5</v>
      </c>
      <c r="L35" s="128">
        <v>105547</v>
      </c>
    </row>
    <row r="36" spans="1:12" ht="12.75" customHeight="1">
      <c r="A36" s="22">
        <v>2016</v>
      </c>
      <c r="B36" s="128">
        <v>398915.1</v>
      </c>
      <c r="C36" s="128">
        <v>9016</v>
      </c>
      <c r="D36" s="128">
        <v>12036</v>
      </c>
      <c r="E36" s="128">
        <v>10535</v>
      </c>
      <c r="F36" s="128">
        <v>252912</v>
      </c>
      <c r="G36" s="128">
        <v>5606.4519</v>
      </c>
      <c r="H36" s="148">
        <v>79</v>
      </c>
      <c r="I36" s="146">
        <v>11578</v>
      </c>
      <c r="J36" s="128">
        <v>1601</v>
      </c>
      <c r="K36" s="128">
        <v>10315.800000000001</v>
      </c>
      <c r="L36" s="128">
        <v>107855</v>
      </c>
    </row>
    <row r="37" spans="1:12" ht="12.75" customHeight="1">
      <c r="A37" s="22">
        <v>2017</v>
      </c>
      <c r="B37" s="123">
        <v>406592.80290229316</v>
      </c>
      <c r="C37" s="128">
        <v>8827</v>
      </c>
      <c r="D37" s="128">
        <v>12704</v>
      </c>
      <c r="E37" s="128">
        <v>11358</v>
      </c>
      <c r="F37" s="128">
        <v>265329</v>
      </c>
      <c r="G37" s="15">
        <v>6247</v>
      </c>
      <c r="H37" s="106">
        <v>76</v>
      </c>
      <c r="I37" s="146">
        <v>10888</v>
      </c>
      <c r="J37" s="15">
        <v>1429</v>
      </c>
      <c r="K37" s="15">
        <v>10420.65</v>
      </c>
      <c r="L37" s="15">
        <v>107394</v>
      </c>
    </row>
    <row r="38" spans="1:12" ht="12.75" customHeight="1">
      <c r="A38" s="22">
        <v>2018</v>
      </c>
      <c r="B38" s="197">
        <v>409647</v>
      </c>
      <c r="C38" s="128">
        <v>8662</v>
      </c>
      <c r="D38" s="128">
        <v>12343</v>
      </c>
      <c r="E38" s="128">
        <v>9197</v>
      </c>
      <c r="F38" s="128">
        <v>246385</v>
      </c>
      <c r="G38" s="15">
        <v>6610</v>
      </c>
      <c r="H38" s="106">
        <v>83</v>
      </c>
      <c r="I38" s="146">
        <v>13099</v>
      </c>
      <c r="J38" s="15">
        <v>1604</v>
      </c>
      <c r="K38" s="15">
        <v>10278.45</v>
      </c>
      <c r="L38" s="197">
        <v>115951.266</v>
      </c>
    </row>
    <row r="39" spans="1:12" ht="12.75" customHeight="1">
      <c r="A39" s="22">
        <v>2019</v>
      </c>
      <c r="B39" s="128">
        <v>409964</v>
      </c>
      <c r="C39" s="128">
        <v>8524</v>
      </c>
      <c r="D39" s="128">
        <v>11944</v>
      </c>
      <c r="E39" s="128">
        <v>11449</v>
      </c>
      <c r="F39" s="128">
        <v>249562.36169999998</v>
      </c>
      <c r="G39" s="15">
        <v>6855.7563</v>
      </c>
      <c r="H39" s="106">
        <v>78</v>
      </c>
      <c r="I39" s="146">
        <v>11544</v>
      </c>
      <c r="J39" s="15">
        <v>1876</v>
      </c>
      <c r="K39" s="15">
        <v>10053.949999999999</v>
      </c>
      <c r="L39" s="180">
        <v>119893.69900000001</v>
      </c>
    </row>
    <row r="40" spans="1:12" ht="12">
      <c r="A40" s="183"/>
      <c r="B40" s="184"/>
      <c r="C40" s="23"/>
      <c r="D40" s="23"/>
      <c r="E40" s="23"/>
      <c r="F40" s="23"/>
      <c r="G40" s="23"/>
      <c r="H40" s="23"/>
      <c r="I40" s="23"/>
      <c r="J40" s="23"/>
      <c r="K40" s="183"/>
      <c r="L40" s="23"/>
    </row>
    <row r="41" spans="1:12" s="5" customFormat="1" ht="12.75" customHeight="1">
      <c r="A41" s="206" t="s">
        <v>12</v>
      </c>
      <c r="B41" s="206"/>
      <c r="C41" s="206"/>
      <c r="D41" s="206"/>
      <c r="E41" s="206"/>
      <c r="F41" s="206"/>
      <c r="G41" s="206"/>
      <c r="H41" s="206"/>
      <c r="I41" s="206"/>
      <c r="J41" s="206"/>
      <c r="K41" s="206"/>
      <c r="L41" s="206"/>
    </row>
    <row r="42" spans="1:12" s="5" customFormat="1" ht="29.25" customHeight="1">
      <c r="A42" s="204" t="s">
        <v>207</v>
      </c>
      <c r="B42" s="204"/>
      <c r="C42" s="204"/>
      <c r="D42" s="204"/>
      <c r="E42" s="204"/>
      <c r="F42" s="204"/>
      <c r="G42" s="204"/>
      <c r="H42" s="204"/>
      <c r="I42" s="204"/>
      <c r="J42" s="204"/>
      <c r="K42" s="204"/>
      <c r="L42" s="204"/>
    </row>
    <row r="43" spans="1:12" s="5" customFormat="1" ht="26.25" customHeight="1">
      <c r="A43" s="204" t="s">
        <v>128</v>
      </c>
      <c r="B43" s="204"/>
      <c r="C43" s="204"/>
      <c r="D43" s="204"/>
      <c r="E43" s="204"/>
      <c r="F43" s="204"/>
      <c r="G43" s="204"/>
      <c r="H43" s="204"/>
      <c r="I43" s="204"/>
      <c r="J43" s="204"/>
      <c r="K43" s="204"/>
      <c r="L43" s="204"/>
    </row>
    <row r="44" spans="1:12" s="5" customFormat="1" ht="24" customHeight="1">
      <c r="A44" s="204" t="s">
        <v>129</v>
      </c>
      <c r="B44" s="204"/>
      <c r="C44" s="204"/>
      <c r="D44" s="204"/>
      <c r="E44" s="204"/>
      <c r="F44" s="204"/>
      <c r="G44" s="204"/>
      <c r="H44" s="204"/>
      <c r="I44" s="204"/>
      <c r="J44" s="204"/>
      <c r="K44" s="204"/>
      <c r="L44" s="204"/>
    </row>
    <row r="45" spans="1:12" ht="14.25" customHeight="1">
      <c r="A45" s="204" t="s">
        <v>55</v>
      </c>
      <c r="B45" s="204"/>
      <c r="C45" s="204"/>
      <c r="D45" s="204"/>
      <c r="E45" s="204"/>
      <c r="F45" s="204"/>
      <c r="G45" s="204"/>
      <c r="H45" s="204"/>
      <c r="I45" s="204"/>
      <c r="J45" s="204"/>
      <c r="K45" s="204"/>
      <c r="L45" s="204"/>
    </row>
    <row r="46" spans="1:12" s="2" customFormat="1" ht="23.25" customHeight="1">
      <c r="A46" s="203" t="s">
        <v>204</v>
      </c>
      <c r="B46" s="203"/>
      <c r="C46" s="203"/>
      <c r="D46" s="203"/>
      <c r="E46" s="203"/>
      <c r="F46" s="203"/>
      <c r="G46" s="203"/>
      <c r="H46" s="203"/>
      <c r="I46" s="203"/>
      <c r="J46" s="203"/>
      <c r="K46" s="203"/>
      <c r="L46" s="203"/>
    </row>
  </sheetData>
  <sheetProtection/>
  <mergeCells count="8">
    <mergeCell ref="A46:L46"/>
    <mergeCell ref="A45:L45"/>
    <mergeCell ref="A44:L44"/>
    <mergeCell ref="A1:L1"/>
    <mergeCell ref="A43:L43"/>
    <mergeCell ref="A41:L41"/>
    <mergeCell ref="A42:L42"/>
    <mergeCell ref="A3:A4"/>
  </mergeCells>
  <printOptions/>
  <pageMargins left="0.787401575" right="0.787401575" top="0.984251969" bottom="0.984251969" header="0.511811023" footer="0.511811023"/>
  <pageSetup horizontalDpi="300" verticalDpi="300" orientation="portrait" paperSize="9" scale="69" r:id="rId2"/>
  <headerFooter alignWithMargins="0">
    <oddFooter>&amp;CSeite &amp;P</oddFooter>
  </headerFooter>
  <drawing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1:F43"/>
  <sheetViews>
    <sheetView showGridLines="0" zoomScale="145" zoomScaleNormal="145" zoomScalePageLayoutView="0" workbookViewId="0" topLeftCell="A1">
      <selection activeCell="F9" sqref="F9"/>
    </sheetView>
  </sheetViews>
  <sheetFormatPr defaultColWidth="10.28125" defaultRowHeight="12.75"/>
  <cols>
    <col min="1" max="1" width="7.00390625" style="10" customWidth="1"/>
    <col min="2" max="2" width="17.140625" style="11" customWidth="1"/>
    <col min="3" max="3" width="18.00390625" style="5" customWidth="1"/>
    <col min="4" max="16384" width="10.28125" style="5" customWidth="1"/>
  </cols>
  <sheetData>
    <row r="1" spans="1:5" ht="12.75">
      <c r="A1" s="264" t="s">
        <v>59</v>
      </c>
      <c r="B1" s="264"/>
      <c r="C1" s="264"/>
      <c r="D1" s="259"/>
      <c r="E1" s="259"/>
    </row>
    <row r="2" ht="11.25">
      <c r="C2" s="101" t="s">
        <v>88</v>
      </c>
    </row>
    <row r="3" spans="1:3" s="3" customFormat="1" ht="15" customHeight="1">
      <c r="A3" s="209" t="s">
        <v>0</v>
      </c>
      <c r="B3" s="208" t="s">
        <v>8</v>
      </c>
      <c r="C3" s="208"/>
    </row>
    <row r="4" spans="1:3" s="3" customFormat="1" ht="15.75" customHeight="1">
      <c r="A4" s="209"/>
      <c r="B4" s="87" t="s">
        <v>7</v>
      </c>
      <c r="C4" s="87" t="s">
        <v>57</v>
      </c>
    </row>
    <row r="5" spans="1:3" ht="18" customHeight="1">
      <c r="A5" s="4">
        <v>1985</v>
      </c>
      <c r="B5" s="128">
        <v>866696</v>
      </c>
      <c r="C5" s="137">
        <f>+B5/27076</f>
        <v>32.009750332397694</v>
      </c>
    </row>
    <row r="6" spans="1:3" ht="12.75" customHeight="1">
      <c r="A6" s="4">
        <v>1986</v>
      </c>
      <c r="B6" s="128">
        <v>976421</v>
      </c>
      <c r="C6" s="137">
        <f>+B6/27399</f>
        <v>35.63710354392496</v>
      </c>
    </row>
    <row r="7" spans="1:3" ht="12.75" customHeight="1">
      <c r="A7" s="4">
        <v>1987</v>
      </c>
      <c r="B7" s="128">
        <v>761956</v>
      </c>
      <c r="C7" s="137">
        <f>+B7/27714</f>
        <v>27.493541170527532</v>
      </c>
    </row>
    <row r="8" spans="1:3" ht="12.75" customHeight="1">
      <c r="A8" s="4">
        <v>1988</v>
      </c>
      <c r="B8" s="128">
        <v>946315</v>
      </c>
      <c r="C8" s="137">
        <f>+B8/28181</f>
        <v>33.5798942549945</v>
      </c>
    </row>
    <row r="9" spans="1:3" ht="12.75" customHeight="1">
      <c r="A9" s="4">
        <v>1989</v>
      </c>
      <c r="B9" s="128">
        <v>991708</v>
      </c>
      <c r="C9" s="137">
        <f>+B9/28452</f>
        <v>34.855475889216926</v>
      </c>
    </row>
    <row r="10" spans="1:3" ht="18" customHeight="1">
      <c r="A10" s="4">
        <v>1990</v>
      </c>
      <c r="B10" s="128">
        <v>1081511</v>
      </c>
      <c r="C10" s="137">
        <f>+B10/29032</f>
        <v>37.25237668779278</v>
      </c>
    </row>
    <row r="11" spans="1:3" ht="12.75" customHeight="1">
      <c r="A11" s="4">
        <v>1991</v>
      </c>
      <c r="B11" s="128">
        <v>1058651</v>
      </c>
      <c r="C11" s="137">
        <f>B11/29386</f>
        <v>36.025692506635814</v>
      </c>
    </row>
    <row r="12" spans="1:3" ht="12.75" customHeight="1">
      <c r="A12" s="4">
        <v>1992</v>
      </c>
      <c r="B12" s="128">
        <v>1088813</v>
      </c>
      <c r="C12" s="137">
        <f>B12/29868</f>
        <v>36.454164992634254</v>
      </c>
    </row>
    <row r="13" spans="1:3" ht="12.75" customHeight="1">
      <c r="A13" s="4">
        <v>1993</v>
      </c>
      <c r="B13" s="128">
        <v>1109019</v>
      </c>
      <c r="C13" s="137">
        <f>B13/30310</f>
        <v>36.589211481359285</v>
      </c>
    </row>
    <row r="14" spans="1:3" ht="12.75" customHeight="1">
      <c r="A14" s="4">
        <v>1994</v>
      </c>
      <c r="B14" s="128">
        <v>1074477</v>
      </c>
      <c r="C14" s="137">
        <f>B14/30629</f>
        <v>35.0803813379477</v>
      </c>
    </row>
    <row r="15" spans="1:3" ht="18" customHeight="1">
      <c r="A15" s="4">
        <v>1995</v>
      </c>
      <c r="B15" s="130">
        <v>1054655</v>
      </c>
      <c r="C15" s="137">
        <f>B15/30923</f>
        <v>34.105843546874496</v>
      </c>
    </row>
    <row r="16" spans="1:3" ht="12.75" customHeight="1">
      <c r="A16" s="4">
        <v>1996</v>
      </c>
      <c r="B16" s="130">
        <v>1130601</v>
      </c>
      <c r="C16" s="137">
        <f>B16/31143</f>
        <v>36.30353530488392</v>
      </c>
    </row>
    <row r="17" spans="1:3" ht="12.75" customHeight="1">
      <c r="A17" s="4">
        <v>1997</v>
      </c>
      <c r="B17" s="130">
        <v>1137233</v>
      </c>
      <c r="C17" s="137">
        <f>B17/31320</f>
        <v>36.310121328224774</v>
      </c>
    </row>
    <row r="18" spans="1:3" ht="12.75" customHeight="1">
      <c r="A18" s="4">
        <v>1998</v>
      </c>
      <c r="B18" s="130">
        <v>1238975</v>
      </c>
      <c r="C18" s="137">
        <f>B18/32015</f>
        <v>38.69982820552866</v>
      </c>
    </row>
    <row r="19" spans="1:3" ht="12.75" customHeight="1">
      <c r="A19" s="4">
        <v>1999</v>
      </c>
      <c r="B19" s="130">
        <v>1211919</v>
      </c>
      <c r="C19" s="137">
        <f>B19/32426</f>
        <v>37.37491519151298</v>
      </c>
    </row>
    <row r="20" spans="1:3" ht="18" customHeight="1">
      <c r="A20" s="4">
        <v>2000</v>
      </c>
      <c r="B20" s="130">
        <v>1207153</v>
      </c>
      <c r="C20" s="137">
        <f>B20/32863</f>
        <v>36.73289109332684</v>
      </c>
    </row>
    <row r="21" spans="1:3" ht="12.75" customHeight="1">
      <c r="A21" s="4">
        <v>2001</v>
      </c>
      <c r="B21" s="130">
        <v>1215652</v>
      </c>
      <c r="C21" s="137">
        <f>B21/33525</f>
        <v>36.26105891126026</v>
      </c>
    </row>
    <row r="22" spans="1:3" ht="12.75" customHeight="1">
      <c r="A22" s="4">
        <v>2002</v>
      </c>
      <c r="B22" s="130">
        <v>1233336</v>
      </c>
      <c r="C22" s="137">
        <f>B22/33863</f>
        <v>36.42134483064111</v>
      </c>
    </row>
    <row r="23" spans="1:3" ht="12.75" customHeight="1">
      <c r="A23" s="4">
        <v>2003</v>
      </c>
      <c r="B23" s="130">
        <v>1294666</v>
      </c>
      <c r="C23" s="137">
        <f>B23/34294</f>
        <v>37.751968274333706</v>
      </c>
    </row>
    <row r="24" spans="1:3" ht="12.75" customHeight="1">
      <c r="A24" s="6" t="s">
        <v>11</v>
      </c>
      <c r="B24" s="130">
        <v>1315340</v>
      </c>
      <c r="C24" s="137">
        <f>B24/34600</f>
        <v>38.015606936416184</v>
      </c>
    </row>
    <row r="25" spans="1:3" ht="18" customHeight="1">
      <c r="A25" s="6">
        <v>2005</v>
      </c>
      <c r="B25" s="130">
        <v>1330327</v>
      </c>
      <c r="C25" s="137">
        <f>B25/34905</f>
        <v>38.11279186362985</v>
      </c>
    </row>
    <row r="26" spans="1:3" ht="12.75" customHeight="1">
      <c r="A26" s="6">
        <v>2006</v>
      </c>
      <c r="B26" s="130">
        <v>1358014</v>
      </c>
      <c r="C26" s="137">
        <f>B26/35168</f>
        <v>38.615047770700635</v>
      </c>
    </row>
    <row r="27" spans="1:3" ht="12.75" customHeight="1">
      <c r="A27" s="6">
        <v>2007</v>
      </c>
      <c r="B27" s="130">
        <v>1266191</v>
      </c>
      <c r="C27" s="137">
        <f>B27/35356</f>
        <v>35.812620205905645</v>
      </c>
    </row>
    <row r="28" spans="1:3" ht="12.75" customHeight="1">
      <c r="A28" s="6">
        <v>2008</v>
      </c>
      <c r="B28" s="130">
        <v>1344366</v>
      </c>
      <c r="C28" s="137">
        <f>B28/35589</f>
        <v>37.77476186462109</v>
      </c>
    </row>
    <row r="29" spans="1:3" ht="12.75" customHeight="1">
      <c r="A29" s="93">
        <v>2009</v>
      </c>
      <c r="B29" s="128">
        <v>1317750</v>
      </c>
      <c r="C29" s="137">
        <f>B29/35894</f>
        <v>36.712263888115004</v>
      </c>
    </row>
    <row r="30" spans="1:3" ht="12.75" customHeight="1">
      <c r="A30" s="93">
        <v>2010</v>
      </c>
      <c r="B30" s="128">
        <v>1338073.24</v>
      </c>
      <c r="C30" s="137">
        <f>B30/36149</f>
        <v>37.015498077401865</v>
      </c>
    </row>
    <row r="31" spans="1:3" ht="12.75" customHeight="1">
      <c r="A31" s="93">
        <v>2011</v>
      </c>
      <c r="B31" s="128">
        <v>1280205.9</v>
      </c>
      <c r="C31" s="137">
        <f>B31/36475</f>
        <v>35.098174091843724</v>
      </c>
    </row>
    <row r="32" spans="1:3" ht="12.75" customHeight="1">
      <c r="A32" s="93">
        <v>2012</v>
      </c>
      <c r="B32" s="128">
        <v>1323326.448</v>
      </c>
      <c r="C32" s="137">
        <f>B32/36838</f>
        <v>35.922863564797225</v>
      </c>
    </row>
    <row r="33" spans="1:3" ht="12.75" customHeight="1">
      <c r="A33" s="93">
        <v>2013</v>
      </c>
      <c r="B33" s="128">
        <v>1356559.8</v>
      </c>
      <c r="C33" s="137">
        <f>B33/37129</f>
        <v>36.53639473188074</v>
      </c>
    </row>
    <row r="34" spans="1:3" ht="11.25">
      <c r="A34" s="93">
        <v>2014</v>
      </c>
      <c r="B34" s="128">
        <v>1235751.5252826007</v>
      </c>
      <c r="C34" s="137">
        <f>B34/37366</f>
        <v>33.07154967838679</v>
      </c>
    </row>
    <row r="35" spans="1:3" ht="11.25">
      <c r="A35" s="93">
        <v>2015</v>
      </c>
      <c r="B35" s="128">
        <v>1241318.980323696</v>
      </c>
      <c r="C35" s="137">
        <f>B35/37622</f>
        <v>32.994497377164855</v>
      </c>
    </row>
    <row r="36" spans="1:3" ht="11.25">
      <c r="A36" s="93">
        <v>2016</v>
      </c>
      <c r="B36" s="128">
        <v>1208885.9000000001</v>
      </c>
      <c r="C36" s="188">
        <f>B36/37810</f>
        <v>31.972650092568106</v>
      </c>
    </row>
    <row r="37" spans="1:4" ht="11.25">
      <c r="A37" s="93">
        <v>2017</v>
      </c>
      <c r="B37" s="128">
        <v>1241042.931802293</v>
      </c>
      <c r="C37" s="188">
        <f>B37/38114</f>
        <v>32.56134049961413</v>
      </c>
      <c r="D37" s="189"/>
    </row>
    <row r="38" spans="1:4" ht="11.25">
      <c r="A38" s="93">
        <v>2018</v>
      </c>
      <c r="B38" s="195">
        <v>1212089.716</v>
      </c>
      <c r="C38" s="198">
        <f>B38/38378</f>
        <v>31.582930741570692</v>
      </c>
      <c r="D38" s="189"/>
    </row>
    <row r="39" spans="1:4" ht="11.25">
      <c r="A39" s="93">
        <v>2019</v>
      </c>
      <c r="B39" s="128">
        <v>1234803.5289999999</v>
      </c>
      <c r="C39" s="188">
        <f>B39/38749</f>
        <v>31.866719889545532</v>
      </c>
      <c r="D39" s="189"/>
    </row>
    <row r="40" spans="2:3" ht="11.25">
      <c r="B40" s="185"/>
      <c r="C40" s="137"/>
    </row>
    <row r="41" spans="1:3" ht="11.25">
      <c r="A41" s="210" t="s">
        <v>12</v>
      </c>
      <c r="B41" s="210"/>
      <c r="C41" s="210"/>
    </row>
    <row r="42" spans="1:6" ht="11.25">
      <c r="A42" s="211" t="s">
        <v>205</v>
      </c>
      <c r="B42" s="211"/>
      <c r="C42" s="211"/>
      <c r="D42" s="211"/>
      <c r="E42" s="211"/>
      <c r="F42" s="211"/>
    </row>
    <row r="43" spans="1:6" ht="11.25">
      <c r="A43" s="211" t="s">
        <v>206</v>
      </c>
      <c r="B43" s="211"/>
      <c r="C43" s="211"/>
      <c r="D43" s="211"/>
      <c r="E43" s="211"/>
      <c r="F43" s="211"/>
    </row>
  </sheetData>
  <sheetProtection/>
  <mergeCells count="5">
    <mergeCell ref="B3:C3"/>
    <mergeCell ref="A3:A4"/>
    <mergeCell ref="A41:C41"/>
    <mergeCell ref="A42:F42"/>
    <mergeCell ref="A43:F43"/>
  </mergeCells>
  <printOptions/>
  <pageMargins left="0.787401575" right="0.787401575" top="0.984251969" bottom="0.984251969" header="0.511811023" footer="0.511811023"/>
  <pageSetup fitToHeight="1" fitToWidth="1" horizontalDpi="300" verticalDpi="300" orientation="portrait" paperSize="9" r:id="rId2"/>
  <headerFooter alignWithMargins="0">
    <oddFooter>&amp;CSeite &amp;P</oddFooter>
  </headerFooter>
  <ignoredErrors>
    <ignoredError sqref="A24" numberStoredAsText="1"/>
  </ignoredErrors>
  <drawing r:id="rId1"/>
</worksheet>
</file>

<file path=xl/worksheets/sheet6.xml><?xml version="1.0" encoding="utf-8"?>
<worksheet xmlns="http://schemas.openxmlformats.org/spreadsheetml/2006/main" xmlns:r="http://schemas.openxmlformats.org/officeDocument/2006/relationships">
  <sheetPr>
    <tabColor rgb="FF92D050"/>
  </sheetPr>
  <dimension ref="A1:G41"/>
  <sheetViews>
    <sheetView showGridLines="0" zoomScale="160" zoomScaleNormal="160" zoomScalePageLayoutView="0" workbookViewId="0" topLeftCell="A1">
      <selection activeCell="F13" sqref="F13"/>
    </sheetView>
  </sheetViews>
  <sheetFormatPr defaultColWidth="11.421875" defaultRowHeight="12.75"/>
  <cols>
    <col min="1" max="1" width="5.28125" style="0" customWidth="1"/>
    <col min="2" max="2" width="18.140625" style="0" customWidth="1"/>
    <col min="3" max="4" width="17.7109375" style="0" customWidth="1"/>
    <col min="5" max="5" width="17.00390625" style="0" customWidth="1"/>
  </cols>
  <sheetData>
    <row r="1" spans="1:5" ht="12.75">
      <c r="A1" s="202" t="s">
        <v>58</v>
      </c>
      <c r="B1" s="202"/>
      <c r="C1" s="202"/>
      <c r="D1" s="202"/>
      <c r="E1" s="202"/>
    </row>
    <row r="2" ht="12.75">
      <c r="E2" s="102" t="s">
        <v>89</v>
      </c>
    </row>
    <row r="3" spans="1:5" s="29" customFormat="1" ht="20.25" customHeight="1">
      <c r="A3" s="30" t="s">
        <v>0</v>
      </c>
      <c r="B3" s="88" t="s">
        <v>73</v>
      </c>
      <c r="C3" s="86" t="s">
        <v>13</v>
      </c>
      <c r="D3" s="86" t="s">
        <v>14</v>
      </c>
      <c r="E3" s="88" t="s">
        <v>74</v>
      </c>
    </row>
    <row r="4" spans="1:5" ht="18" customHeight="1">
      <c r="A4" s="20">
        <v>1985</v>
      </c>
      <c r="B4" s="14">
        <v>48878</v>
      </c>
      <c r="C4" s="14">
        <v>124453</v>
      </c>
      <c r="D4" s="12">
        <v>349</v>
      </c>
      <c r="E4" s="14">
        <f aca="true" t="shared" si="0" ref="E4:E16">B4+C4-D4</f>
        <v>172982</v>
      </c>
    </row>
    <row r="5" spans="1:5" ht="12.75" customHeight="1">
      <c r="A5" s="20">
        <v>1986</v>
      </c>
      <c r="B5" s="14">
        <v>44351</v>
      </c>
      <c r="C5" s="14">
        <v>138904</v>
      </c>
      <c r="D5" s="12">
        <v>85</v>
      </c>
      <c r="E5" s="14">
        <f t="shared" si="0"/>
        <v>183170</v>
      </c>
    </row>
    <row r="6" spans="1:5" ht="12.75" customHeight="1">
      <c r="A6" s="20">
        <v>1987</v>
      </c>
      <c r="B6" s="14">
        <v>48776</v>
      </c>
      <c r="C6" s="14">
        <v>148100</v>
      </c>
      <c r="D6" s="12">
        <v>53</v>
      </c>
      <c r="E6" s="14">
        <f t="shared" si="0"/>
        <v>196823</v>
      </c>
    </row>
    <row r="7" spans="1:5" ht="12.75" customHeight="1">
      <c r="A7" s="20">
        <v>1988</v>
      </c>
      <c r="B7" s="14">
        <v>61133</v>
      </c>
      <c r="C7" s="14">
        <v>143804</v>
      </c>
      <c r="D7" s="12">
        <v>265</v>
      </c>
      <c r="E7" s="14">
        <f t="shared" si="0"/>
        <v>204672</v>
      </c>
    </row>
    <row r="8" spans="1:5" ht="12.75" customHeight="1">
      <c r="A8" s="20">
        <v>1989</v>
      </c>
      <c r="B8" s="14">
        <v>64759</v>
      </c>
      <c r="C8" s="14">
        <v>150504</v>
      </c>
      <c r="D8" s="12">
        <v>136</v>
      </c>
      <c r="E8" s="14">
        <f t="shared" si="0"/>
        <v>215127</v>
      </c>
    </row>
    <row r="9" spans="1:5" ht="18" customHeight="1">
      <c r="A9" s="20">
        <v>1990</v>
      </c>
      <c r="B9" s="14">
        <v>55535</v>
      </c>
      <c r="C9" s="14">
        <v>166447</v>
      </c>
      <c r="D9" s="12">
        <v>67</v>
      </c>
      <c r="E9" s="14">
        <f t="shared" si="0"/>
        <v>221915</v>
      </c>
    </row>
    <row r="10" spans="1:5" ht="12.75" customHeight="1">
      <c r="A10" s="20">
        <v>1991</v>
      </c>
      <c r="B10" s="14">
        <v>55724</v>
      </c>
      <c r="C10" s="14">
        <v>170191</v>
      </c>
      <c r="D10" s="12">
        <v>154</v>
      </c>
      <c r="E10" s="14">
        <f t="shared" si="0"/>
        <v>225761</v>
      </c>
    </row>
    <row r="11" spans="1:5" ht="12.75" customHeight="1">
      <c r="A11" s="20">
        <v>1992</v>
      </c>
      <c r="B11" s="14">
        <v>64896</v>
      </c>
      <c r="C11" s="14">
        <v>168952</v>
      </c>
      <c r="D11" s="12">
        <v>57</v>
      </c>
      <c r="E11" s="14">
        <f t="shared" si="0"/>
        <v>233791</v>
      </c>
    </row>
    <row r="12" spans="1:5" ht="12.75" customHeight="1">
      <c r="A12" s="20">
        <v>1993</v>
      </c>
      <c r="B12" s="14">
        <v>70669</v>
      </c>
      <c r="C12" s="14">
        <v>164772</v>
      </c>
      <c r="D12" s="14">
        <v>59</v>
      </c>
      <c r="E12" s="14">
        <f t="shared" si="0"/>
        <v>235382</v>
      </c>
    </row>
    <row r="13" spans="1:5" ht="12.75" customHeight="1">
      <c r="A13" s="20">
        <v>1994</v>
      </c>
      <c r="B13" s="14">
        <v>67173</v>
      </c>
      <c r="C13" s="14">
        <v>174870</v>
      </c>
      <c r="D13" s="14">
        <v>40</v>
      </c>
      <c r="E13" s="14">
        <f t="shared" si="0"/>
        <v>242003</v>
      </c>
    </row>
    <row r="14" spans="1:5" ht="18" customHeight="1">
      <c r="A14" s="20">
        <v>1995</v>
      </c>
      <c r="B14" s="14">
        <v>73064</v>
      </c>
      <c r="C14" s="14">
        <v>179552</v>
      </c>
      <c r="D14" s="14">
        <v>23</v>
      </c>
      <c r="E14" s="14">
        <f t="shared" si="0"/>
        <v>252593</v>
      </c>
    </row>
    <row r="15" spans="1:5" ht="12.75" customHeight="1">
      <c r="A15" s="20">
        <v>1996</v>
      </c>
      <c r="B15" s="14">
        <v>68461</v>
      </c>
      <c r="C15" s="14">
        <v>190849</v>
      </c>
      <c r="D15" s="14">
        <v>7</v>
      </c>
      <c r="E15" s="14">
        <f t="shared" si="0"/>
        <v>259303</v>
      </c>
    </row>
    <row r="16" spans="1:5" ht="12.75" customHeight="1">
      <c r="A16" s="20">
        <v>1997</v>
      </c>
      <c r="B16" s="14">
        <v>66898</v>
      </c>
      <c r="C16" s="14">
        <v>196492</v>
      </c>
      <c r="D16" s="14">
        <v>18</v>
      </c>
      <c r="E16" s="14">
        <f t="shared" si="0"/>
        <v>263372</v>
      </c>
    </row>
    <row r="17" spans="1:5" ht="12.75" customHeight="1">
      <c r="A17" s="20">
        <v>1998</v>
      </c>
      <c r="B17" s="14">
        <v>72916</v>
      </c>
      <c r="C17" s="14">
        <v>210723</v>
      </c>
      <c r="D17" s="12" t="s">
        <v>10</v>
      </c>
      <c r="E17" s="14">
        <v>283639</v>
      </c>
    </row>
    <row r="18" spans="1:5" ht="12.75" customHeight="1">
      <c r="A18" s="20">
        <v>1999</v>
      </c>
      <c r="B18" s="14">
        <v>76579</v>
      </c>
      <c r="C18" s="14">
        <v>218452</v>
      </c>
      <c r="D18" s="12" t="s">
        <v>10</v>
      </c>
      <c r="E18" s="14">
        <v>295031</v>
      </c>
    </row>
    <row r="19" spans="1:5" ht="18" customHeight="1">
      <c r="A19" s="20">
        <v>2000</v>
      </c>
      <c r="B19" s="14">
        <v>81035</v>
      </c>
      <c r="C19" s="14">
        <v>220983</v>
      </c>
      <c r="D19" s="12" t="s">
        <v>10</v>
      </c>
      <c r="E19" s="14">
        <v>302018</v>
      </c>
    </row>
    <row r="20" spans="1:5" ht="12.75" customHeight="1">
      <c r="A20" s="20">
        <v>2001</v>
      </c>
      <c r="B20" s="14">
        <v>80603</v>
      </c>
      <c r="C20" s="14">
        <v>232847</v>
      </c>
      <c r="D20" s="12" t="s">
        <v>10</v>
      </c>
      <c r="E20" s="14">
        <v>313450</v>
      </c>
    </row>
    <row r="21" spans="1:5" ht="12.75" customHeight="1">
      <c r="A21" s="20">
        <v>2002</v>
      </c>
      <c r="B21" s="14">
        <v>80857</v>
      </c>
      <c r="C21" s="14">
        <v>237483</v>
      </c>
      <c r="D21" s="12" t="s">
        <v>10</v>
      </c>
      <c r="E21" s="14">
        <v>318340</v>
      </c>
    </row>
    <row r="22" spans="1:5" ht="12.75" customHeight="1">
      <c r="A22" s="20">
        <v>2003</v>
      </c>
      <c r="B22" s="14">
        <v>59249</v>
      </c>
      <c r="C22" s="14">
        <v>270333</v>
      </c>
      <c r="D22" s="12" t="s">
        <v>10</v>
      </c>
      <c r="E22" s="14">
        <v>329582</v>
      </c>
    </row>
    <row r="23" spans="1:5" ht="12.75" customHeight="1">
      <c r="A23" s="20">
        <v>2004</v>
      </c>
      <c r="B23" s="14">
        <v>68915</v>
      </c>
      <c r="C23" s="14">
        <v>275800</v>
      </c>
      <c r="D23" s="12" t="s">
        <v>10</v>
      </c>
      <c r="E23" s="14">
        <v>344715</v>
      </c>
    </row>
    <row r="24" spans="1:5" ht="18" customHeight="1">
      <c r="A24" s="20">
        <v>2005</v>
      </c>
      <c r="B24" s="14">
        <v>67756</v>
      </c>
      <c r="C24" s="14">
        <v>285372</v>
      </c>
      <c r="D24" s="12" t="s">
        <v>10</v>
      </c>
      <c r="E24" s="14">
        <v>353128</v>
      </c>
    </row>
    <row r="25" spans="1:5" ht="12.75" customHeight="1">
      <c r="A25" s="20">
        <v>2006</v>
      </c>
      <c r="B25" s="14">
        <v>67135</v>
      </c>
      <c r="C25" s="14">
        <v>302362</v>
      </c>
      <c r="D25" s="12" t="s">
        <v>10</v>
      </c>
      <c r="E25" s="14">
        <v>369497</v>
      </c>
    </row>
    <row r="26" spans="1:5" ht="12.75" customHeight="1">
      <c r="A26" s="20">
        <v>2007</v>
      </c>
      <c r="B26" s="14">
        <v>72273</v>
      </c>
      <c r="C26" s="14">
        <v>306740</v>
      </c>
      <c r="D26" s="12" t="s">
        <v>10</v>
      </c>
      <c r="E26" s="14">
        <v>379013</v>
      </c>
    </row>
    <row r="27" spans="1:5" ht="12.75" customHeight="1">
      <c r="A27" s="20">
        <v>2008</v>
      </c>
      <c r="B27" s="31">
        <v>71393</v>
      </c>
      <c r="C27" s="31">
        <v>314897</v>
      </c>
      <c r="D27" s="12" t="s">
        <v>10</v>
      </c>
      <c r="E27" s="31">
        <v>386290</v>
      </c>
    </row>
    <row r="28" spans="1:5" ht="12.75" customHeight="1">
      <c r="A28" s="20">
        <v>2009</v>
      </c>
      <c r="B28" s="31">
        <v>71000</v>
      </c>
      <c r="C28" s="31">
        <v>306558</v>
      </c>
      <c r="D28" s="12" t="s">
        <v>10</v>
      </c>
      <c r="E28" s="31">
        <f aca="true" t="shared" si="1" ref="E28:E33">SUM(B28:C28)</f>
        <v>377558</v>
      </c>
    </row>
    <row r="29" spans="1:5" ht="12.75" customHeight="1">
      <c r="A29" s="20">
        <v>2010</v>
      </c>
      <c r="B29" s="63">
        <v>78972</v>
      </c>
      <c r="C29" s="63">
        <v>317608</v>
      </c>
      <c r="D29" s="12" t="s">
        <v>10</v>
      </c>
      <c r="E29" s="31">
        <f t="shared" si="1"/>
        <v>396580</v>
      </c>
    </row>
    <row r="30" spans="1:5" ht="12.75" customHeight="1">
      <c r="A30" s="20">
        <v>2011</v>
      </c>
      <c r="B30" s="135">
        <f>62182+3018+876+6163</f>
        <v>72239</v>
      </c>
      <c r="C30" s="135">
        <v>326002</v>
      </c>
      <c r="D30" s="136" t="s">
        <v>10</v>
      </c>
      <c r="E30" s="179">
        <f t="shared" si="1"/>
        <v>398241</v>
      </c>
    </row>
    <row r="31" spans="1:5" ht="12.75" customHeight="1">
      <c r="A31" s="20">
        <v>2012</v>
      </c>
      <c r="B31" s="135">
        <f>73502+2662+956+8742</f>
        <v>85862</v>
      </c>
      <c r="C31" s="135">
        <v>318146</v>
      </c>
      <c r="D31" s="136" t="s">
        <v>10</v>
      </c>
      <c r="E31" s="179">
        <f t="shared" si="1"/>
        <v>404008</v>
      </c>
    </row>
    <row r="32" spans="1:5" ht="12.75" customHeight="1">
      <c r="A32" s="20">
        <v>2013</v>
      </c>
      <c r="B32" s="128">
        <f>12676+3415.4+69212</f>
        <v>85303.4</v>
      </c>
      <c r="C32" s="135">
        <v>318590</v>
      </c>
      <c r="D32" s="136" t="s">
        <v>10</v>
      </c>
      <c r="E32" s="180">
        <f t="shared" si="1"/>
        <v>403893.4</v>
      </c>
    </row>
    <row r="33" spans="1:5" ht="12.75" customHeight="1">
      <c r="A33" s="20">
        <v>2014</v>
      </c>
      <c r="B33" s="128">
        <f>16623.3538826008+2567.4+22255.2</f>
        <v>41445.95388260081</v>
      </c>
      <c r="C33" s="135">
        <v>354921</v>
      </c>
      <c r="D33" s="135" t="s">
        <v>10</v>
      </c>
      <c r="E33" s="180">
        <f t="shared" si="1"/>
        <v>396366.9538826008</v>
      </c>
    </row>
    <row r="34" spans="1:5" ht="12.75" customHeight="1">
      <c r="A34" s="20">
        <v>2015</v>
      </c>
      <c r="B34" s="128">
        <f>19005.2803236961+2205+48838.2</f>
        <v>70048.4803236961</v>
      </c>
      <c r="C34" s="135">
        <v>325159</v>
      </c>
      <c r="D34" s="135" t="s">
        <v>10</v>
      </c>
      <c r="E34" s="180">
        <f>SUM(B34:C34)</f>
        <v>395207.4803236961</v>
      </c>
    </row>
    <row r="35" spans="1:5" ht="12.75" customHeight="1">
      <c r="A35" s="20">
        <v>2016</v>
      </c>
      <c r="B35" s="128">
        <f>19703+2349+67793.1</f>
        <v>89845.1</v>
      </c>
      <c r="C35" s="135">
        <v>309070</v>
      </c>
      <c r="D35" s="135" t="s">
        <v>10</v>
      </c>
      <c r="E35" s="180">
        <f>SUM(B35:C35)</f>
        <v>398915.1</v>
      </c>
    </row>
    <row r="36" spans="1:5" ht="12.75" customHeight="1">
      <c r="A36" s="20">
        <v>2017</v>
      </c>
      <c r="B36" s="128">
        <f>68515.9+2199+22047.9029022932</f>
        <v>92762.80290229319</v>
      </c>
      <c r="C36" s="63">
        <v>313830</v>
      </c>
      <c r="D36" s="63" t="s">
        <v>10</v>
      </c>
      <c r="E36" s="123">
        <f>SUM(B36:C36)</f>
        <v>406592.80290229316</v>
      </c>
    </row>
    <row r="37" spans="1:5" ht="12.75" customHeight="1">
      <c r="A37" s="20">
        <v>2018</v>
      </c>
      <c r="B37" s="195">
        <f>61868+1928+25162</f>
        <v>88958</v>
      </c>
      <c r="C37" s="63">
        <v>320689</v>
      </c>
      <c r="D37" s="63" t="s">
        <v>10</v>
      </c>
      <c r="E37" s="197">
        <f>SUM(B37:C37)</f>
        <v>409647</v>
      </c>
    </row>
    <row r="38" spans="1:5" ht="12.75" customHeight="1">
      <c r="A38" s="20">
        <v>2019</v>
      </c>
      <c r="B38" s="128">
        <f>74497+2032+26044.40655</f>
        <v>102573.40655</v>
      </c>
      <c r="C38" s="63">
        <v>307391</v>
      </c>
      <c r="D38" s="63" t="s">
        <v>10</v>
      </c>
      <c r="E38" s="123">
        <f>SUM(B38:C38)</f>
        <v>409964.40655</v>
      </c>
    </row>
    <row r="39" spans="2:5" ht="12.75">
      <c r="B39" s="182"/>
      <c r="C39" s="252"/>
      <c r="D39" s="252"/>
      <c r="E39" s="252"/>
    </row>
    <row r="40" spans="1:7" s="35" customFormat="1" ht="11.25">
      <c r="A40" s="210" t="s">
        <v>12</v>
      </c>
      <c r="B40" s="210"/>
      <c r="C40" s="210"/>
      <c r="D40" s="210"/>
      <c r="E40" s="210"/>
      <c r="F40" s="62"/>
      <c r="G40" s="62"/>
    </row>
    <row r="41" spans="1:7" s="35" customFormat="1" ht="30" customHeight="1">
      <c r="A41" s="204" t="s">
        <v>154</v>
      </c>
      <c r="B41" s="204"/>
      <c r="C41" s="204"/>
      <c r="D41" s="204"/>
      <c r="E41" s="204"/>
      <c r="F41" s="164"/>
      <c r="G41" s="164"/>
    </row>
  </sheetData>
  <sheetProtection/>
  <mergeCells count="3">
    <mergeCell ref="A1:E1"/>
    <mergeCell ref="A40:E40"/>
    <mergeCell ref="A41:E41"/>
  </mergeCells>
  <printOptions/>
  <pageMargins left="0.787401575" right="0.787401575" top="0.984251969" bottom="0.984251969" header="0.4921259845" footer="0.4921259845"/>
  <pageSetup horizontalDpi="300" verticalDpi="300" orientation="portrait" paperSize="9" r:id="rId2"/>
  <headerFooter alignWithMargins="0">
    <oddFooter>&amp;CSeite &amp;P</oddFooter>
  </headerFooter>
  <ignoredErrors>
    <ignoredError sqref="E28:E29" formulaRange="1"/>
  </ignoredErrors>
  <drawing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1:K38"/>
  <sheetViews>
    <sheetView showGridLines="0" zoomScale="145" zoomScaleNormal="145" zoomScalePageLayoutView="0" workbookViewId="0" topLeftCell="A1">
      <pane ySplit="4" topLeftCell="A14" activePane="bottomLeft" state="frozen"/>
      <selection pane="topLeft" activeCell="H30" sqref="H30"/>
      <selection pane="bottomLeft" activeCell="K25" sqref="K25"/>
    </sheetView>
  </sheetViews>
  <sheetFormatPr defaultColWidth="10.28125" defaultRowHeight="12.75"/>
  <cols>
    <col min="1" max="1" width="6.7109375" style="35" customWidth="1"/>
    <col min="2" max="3" width="7.28125" style="35" bestFit="1" customWidth="1"/>
    <col min="4" max="5" width="12.7109375" style="36" customWidth="1"/>
    <col min="6" max="6" width="12.57421875" style="36" customWidth="1"/>
    <col min="7" max="7" width="9.421875" style="36" bestFit="1" customWidth="1"/>
    <col min="8" max="9" width="10.28125" style="36" customWidth="1"/>
    <col min="10" max="10" width="15.28125" style="36" bestFit="1" customWidth="1"/>
    <col min="11" max="16384" width="10.28125" style="35" customWidth="1"/>
  </cols>
  <sheetData>
    <row r="1" spans="1:10" ht="12.75">
      <c r="A1" s="202" t="s">
        <v>115</v>
      </c>
      <c r="B1" s="202"/>
      <c r="C1" s="202"/>
      <c r="D1" s="202"/>
      <c r="E1" s="202"/>
      <c r="F1" s="202"/>
      <c r="G1" s="202"/>
      <c r="H1" s="202"/>
      <c r="I1" s="202"/>
      <c r="J1" s="202"/>
    </row>
    <row r="2" spans="1:10" ht="14.25">
      <c r="A2" s="37"/>
      <c r="B2" s="37"/>
      <c r="C2" s="37"/>
      <c r="J2" s="103" t="s">
        <v>90</v>
      </c>
    </row>
    <row r="3" spans="1:10" s="32" customFormat="1" ht="11.25">
      <c r="A3" s="214" t="s">
        <v>0</v>
      </c>
      <c r="B3" s="95" t="s">
        <v>7</v>
      </c>
      <c r="C3" s="213" t="s">
        <v>15</v>
      </c>
      <c r="D3" s="213"/>
      <c r="E3" s="213"/>
      <c r="F3" s="213"/>
      <c r="G3" s="213"/>
      <c r="H3" s="213"/>
      <c r="I3" s="213"/>
      <c r="J3" s="163" t="s">
        <v>79</v>
      </c>
    </row>
    <row r="4" spans="1:10" s="97" customFormat="1" ht="37.5" customHeight="1">
      <c r="A4" s="214"/>
      <c r="B4" s="96"/>
      <c r="C4" s="69" t="s">
        <v>7</v>
      </c>
      <c r="D4" s="158" t="s">
        <v>173</v>
      </c>
      <c r="E4" s="158" t="s">
        <v>150</v>
      </c>
      <c r="F4" s="158" t="s">
        <v>148</v>
      </c>
      <c r="G4" s="69" t="s">
        <v>75</v>
      </c>
      <c r="H4" s="69" t="s">
        <v>63</v>
      </c>
      <c r="I4" s="158" t="s">
        <v>171</v>
      </c>
      <c r="J4" s="158" t="s">
        <v>7</v>
      </c>
    </row>
    <row r="5" spans="1:10" s="34" customFormat="1" ht="18" customHeight="1">
      <c r="A5" s="4">
        <v>1990</v>
      </c>
      <c r="B5" s="34">
        <f>C5+J5</f>
        <v>67333</v>
      </c>
      <c r="C5" s="15">
        <f>D5</f>
        <v>55412</v>
      </c>
      <c r="D5" s="12">
        <v>55412</v>
      </c>
      <c r="E5" s="12">
        <v>55412</v>
      </c>
      <c r="F5" s="136" t="s">
        <v>16</v>
      </c>
      <c r="G5" s="12" t="s">
        <v>16</v>
      </c>
      <c r="H5" s="12" t="s">
        <v>16</v>
      </c>
      <c r="I5" s="12" t="s">
        <v>16</v>
      </c>
      <c r="J5" s="12">
        <v>11921</v>
      </c>
    </row>
    <row r="6" spans="1:10" s="34" customFormat="1" ht="13.5" customHeight="1">
      <c r="A6" s="4">
        <v>1991</v>
      </c>
      <c r="B6" s="34">
        <f aca="true" t="shared" si="0" ref="B6:B30">C6+J6</f>
        <v>63042</v>
      </c>
      <c r="C6" s="15">
        <f>D6+G6</f>
        <v>54796</v>
      </c>
      <c r="D6" s="12">
        <v>54738</v>
      </c>
      <c r="E6" s="12">
        <v>54738</v>
      </c>
      <c r="F6" s="136" t="s">
        <v>16</v>
      </c>
      <c r="G6" s="12">
        <v>58</v>
      </c>
      <c r="H6" s="12" t="s">
        <v>16</v>
      </c>
      <c r="I6" s="12" t="s">
        <v>16</v>
      </c>
      <c r="J6" s="12">
        <v>8246</v>
      </c>
    </row>
    <row r="7" spans="1:10" s="34" customFormat="1" ht="13.5" customHeight="1">
      <c r="A7" s="4">
        <v>1992</v>
      </c>
      <c r="B7" s="34">
        <f t="shared" si="0"/>
        <v>74478</v>
      </c>
      <c r="C7" s="15">
        <f>D7+G7</f>
        <v>62587</v>
      </c>
      <c r="D7" s="12">
        <v>61716</v>
      </c>
      <c r="E7" s="12">
        <v>61716</v>
      </c>
      <c r="F7" s="136" t="s">
        <v>16</v>
      </c>
      <c r="G7" s="12">
        <v>871</v>
      </c>
      <c r="H7" s="12" t="s">
        <v>16</v>
      </c>
      <c r="I7" s="12" t="s">
        <v>16</v>
      </c>
      <c r="J7" s="12">
        <v>11891</v>
      </c>
    </row>
    <row r="8" spans="1:10" s="34" customFormat="1" ht="13.5" customHeight="1">
      <c r="A8" s="4">
        <v>1993</v>
      </c>
      <c r="B8" s="34">
        <f t="shared" si="0"/>
        <v>79196</v>
      </c>
      <c r="C8" s="128">
        <f aca="true" t="shared" si="1" ref="C8:C16">D8+G8+H8</f>
        <v>68397</v>
      </c>
      <c r="D8" s="12">
        <v>67518</v>
      </c>
      <c r="E8" s="12">
        <v>67518</v>
      </c>
      <c r="F8" s="136" t="s">
        <v>16</v>
      </c>
      <c r="G8" s="12">
        <v>871</v>
      </c>
      <c r="H8" s="16">
        <v>8</v>
      </c>
      <c r="I8" s="135" t="s">
        <v>16</v>
      </c>
      <c r="J8" s="12">
        <v>10799</v>
      </c>
    </row>
    <row r="9" spans="1:10" s="34" customFormat="1" ht="13.5" customHeight="1">
      <c r="A9" s="4">
        <v>1994</v>
      </c>
      <c r="B9" s="34">
        <f t="shared" si="0"/>
        <v>78560</v>
      </c>
      <c r="C9" s="128">
        <f t="shared" si="1"/>
        <v>64930</v>
      </c>
      <c r="D9" s="12">
        <v>63842</v>
      </c>
      <c r="E9" s="12">
        <v>63842</v>
      </c>
      <c r="F9" s="136" t="s">
        <v>16</v>
      </c>
      <c r="G9" s="12">
        <v>1070</v>
      </c>
      <c r="H9" s="16">
        <v>18</v>
      </c>
      <c r="I9" s="135" t="s">
        <v>16</v>
      </c>
      <c r="J9" s="12">
        <v>13630</v>
      </c>
    </row>
    <row r="10" spans="1:10" s="34" customFormat="1" ht="18" customHeight="1">
      <c r="A10" s="4">
        <v>1995</v>
      </c>
      <c r="B10" s="34">
        <f t="shared" si="0"/>
        <v>80667</v>
      </c>
      <c r="C10" s="128">
        <f t="shared" si="1"/>
        <v>70606</v>
      </c>
      <c r="D10" s="12">
        <v>69701</v>
      </c>
      <c r="E10" s="12">
        <v>69701</v>
      </c>
      <c r="F10" s="136" t="s">
        <v>16</v>
      </c>
      <c r="G10" s="12">
        <v>873</v>
      </c>
      <c r="H10" s="16">
        <v>32</v>
      </c>
      <c r="I10" s="135" t="s">
        <v>16</v>
      </c>
      <c r="J10" s="12">
        <v>10061</v>
      </c>
    </row>
    <row r="11" spans="1:10" s="34" customFormat="1" ht="13.5" customHeight="1">
      <c r="A11" s="4">
        <v>1996</v>
      </c>
      <c r="B11" s="34">
        <f t="shared" si="0"/>
        <v>74715</v>
      </c>
      <c r="C11" s="128">
        <f t="shared" si="1"/>
        <v>65381</v>
      </c>
      <c r="D11" s="12">
        <v>64259</v>
      </c>
      <c r="E11" s="12">
        <v>64259</v>
      </c>
      <c r="F11" s="136" t="s">
        <v>16</v>
      </c>
      <c r="G11" s="12">
        <v>1082</v>
      </c>
      <c r="H11" s="12">
        <v>40</v>
      </c>
      <c r="I11" s="135" t="s">
        <v>16</v>
      </c>
      <c r="J11" s="12">
        <v>9334</v>
      </c>
    </row>
    <row r="12" spans="1:10" s="34" customFormat="1" ht="13.5" customHeight="1">
      <c r="A12" s="4">
        <v>1997</v>
      </c>
      <c r="B12" s="34">
        <f t="shared" si="0"/>
        <v>75573</v>
      </c>
      <c r="C12" s="128">
        <f t="shared" si="1"/>
        <v>64039</v>
      </c>
      <c r="D12" s="12">
        <v>62740</v>
      </c>
      <c r="E12" s="12">
        <v>62740</v>
      </c>
      <c r="F12" s="136" t="s">
        <v>16</v>
      </c>
      <c r="G12" s="12">
        <v>1236</v>
      </c>
      <c r="H12" s="12">
        <v>63</v>
      </c>
      <c r="I12" s="135" t="s">
        <v>16</v>
      </c>
      <c r="J12" s="12">
        <v>11534</v>
      </c>
    </row>
    <row r="13" spans="1:10" s="34" customFormat="1" ht="13.5" customHeight="1">
      <c r="A13" s="4">
        <v>1998</v>
      </c>
      <c r="B13" s="34">
        <f t="shared" si="0"/>
        <v>82685</v>
      </c>
      <c r="C13" s="128">
        <f t="shared" si="1"/>
        <v>69564</v>
      </c>
      <c r="D13" s="12">
        <v>68191</v>
      </c>
      <c r="E13" s="12">
        <v>68191</v>
      </c>
      <c r="F13" s="136" t="s">
        <v>16</v>
      </c>
      <c r="G13" s="12">
        <v>1302</v>
      </c>
      <c r="H13" s="12">
        <v>71</v>
      </c>
      <c r="I13" s="135" t="s">
        <v>16</v>
      </c>
      <c r="J13" s="12">
        <v>13121</v>
      </c>
    </row>
    <row r="14" spans="1:10" s="34" customFormat="1" ht="13.5" customHeight="1">
      <c r="A14" s="4">
        <v>1999</v>
      </c>
      <c r="B14" s="159">
        <f t="shared" si="0"/>
        <v>88123</v>
      </c>
      <c r="C14" s="128">
        <f t="shared" si="1"/>
        <v>73561</v>
      </c>
      <c r="D14" s="12">
        <v>72146</v>
      </c>
      <c r="E14" s="12">
        <v>72146</v>
      </c>
      <c r="F14" s="136" t="s">
        <v>16</v>
      </c>
      <c r="G14" s="12">
        <v>1341</v>
      </c>
      <c r="H14" s="12">
        <v>74</v>
      </c>
      <c r="I14" s="135" t="s">
        <v>16</v>
      </c>
      <c r="J14" s="12">
        <v>14562</v>
      </c>
    </row>
    <row r="15" spans="1:10" s="34" customFormat="1" ht="18" customHeight="1">
      <c r="A15" s="4">
        <v>2000</v>
      </c>
      <c r="B15" s="159">
        <f t="shared" si="0"/>
        <v>103477</v>
      </c>
      <c r="C15" s="128">
        <f t="shared" si="1"/>
        <v>78075</v>
      </c>
      <c r="D15" s="12">
        <v>76585</v>
      </c>
      <c r="E15" s="12">
        <v>76585</v>
      </c>
      <c r="F15" s="136" t="s">
        <v>16</v>
      </c>
      <c r="G15" s="12">
        <v>1424</v>
      </c>
      <c r="H15" s="12">
        <v>66</v>
      </c>
      <c r="I15" s="135" t="s">
        <v>16</v>
      </c>
      <c r="J15" s="12">
        <v>25402</v>
      </c>
    </row>
    <row r="16" spans="1:10" s="34" customFormat="1" ht="13.5" customHeight="1">
      <c r="A16" s="4">
        <v>2001</v>
      </c>
      <c r="B16" s="159">
        <f t="shared" si="0"/>
        <v>93940</v>
      </c>
      <c r="C16" s="128">
        <f t="shared" si="1"/>
        <v>77729</v>
      </c>
      <c r="D16" s="12">
        <v>76268</v>
      </c>
      <c r="E16" s="12">
        <v>76268</v>
      </c>
      <c r="F16" s="136" t="s">
        <v>16</v>
      </c>
      <c r="G16" s="12">
        <v>1392</v>
      </c>
      <c r="H16" s="12">
        <v>69</v>
      </c>
      <c r="I16" s="135" t="s">
        <v>16</v>
      </c>
      <c r="J16" s="12">
        <v>16211</v>
      </c>
    </row>
    <row r="17" spans="1:10" s="34" customFormat="1" ht="13.5" customHeight="1">
      <c r="A17" s="4">
        <v>2002</v>
      </c>
      <c r="B17" s="159">
        <f t="shared" si="0"/>
        <v>94790</v>
      </c>
      <c r="C17" s="128">
        <f aca="true" t="shared" si="2" ref="C17:C30">D17+G17+H17</f>
        <v>77527</v>
      </c>
      <c r="D17" s="12">
        <v>76166</v>
      </c>
      <c r="E17" s="12">
        <v>76166</v>
      </c>
      <c r="F17" s="136" t="s">
        <v>16</v>
      </c>
      <c r="G17" s="12">
        <v>1288</v>
      </c>
      <c r="H17" s="12">
        <v>73</v>
      </c>
      <c r="I17" s="135" t="s">
        <v>16</v>
      </c>
      <c r="J17" s="12">
        <v>17263</v>
      </c>
    </row>
    <row r="18" spans="1:10" s="34" customFormat="1" ht="13.5" customHeight="1">
      <c r="A18" s="4">
        <v>2003</v>
      </c>
      <c r="B18" s="159">
        <f t="shared" si="0"/>
        <v>79051</v>
      </c>
      <c r="C18" s="128">
        <f t="shared" si="2"/>
        <v>56252</v>
      </c>
      <c r="D18" s="12">
        <v>54779</v>
      </c>
      <c r="E18" s="12">
        <v>54779</v>
      </c>
      <c r="F18" s="136" t="s">
        <v>16</v>
      </c>
      <c r="G18" s="12">
        <v>1352</v>
      </c>
      <c r="H18" s="12">
        <v>121</v>
      </c>
      <c r="I18" s="135" t="s">
        <v>16</v>
      </c>
      <c r="J18" s="12">
        <v>22799</v>
      </c>
    </row>
    <row r="19" spans="1:10" s="34" customFormat="1" ht="13.5" customHeight="1">
      <c r="A19" s="4">
        <v>2004</v>
      </c>
      <c r="B19" s="159">
        <f t="shared" si="0"/>
        <v>90800</v>
      </c>
      <c r="C19" s="128">
        <f t="shared" si="2"/>
        <v>65719</v>
      </c>
      <c r="D19" s="12">
        <v>64387</v>
      </c>
      <c r="E19" s="12">
        <v>64387</v>
      </c>
      <c r="F19" s="136" t="s">
        <v>16</v>
      </c>
      <c r="G19" s="12">
        <v>1180</v>
      </c>
      <c r="H19" s="12">
        <v>152</v>
      </c>
      <c r="I19" s="135" t="s">
        <v>16</v>
      </c>
      <c r="J19" s="12">
        <v>25081</v>
      </c>
    </row>
    <row r="20" spans="1:10" s="34" customFormat="1" ht="18" customHeight="1">
      <c r="A20" s="4">
        <v>2005</v>
      </c>
      <c r="B20" s="159">
        <f t="shared" si="0"/>
        <v>92561</v>
      </c>
      <c r="C20" s="128">
        <f t="shared" si="2"/>
        <v>64355</v>
      </c>
      <c r="D20" s="12">
        <v>62664</v>
      </c>
      <c r="E20" s="12">
        <v>62664</v>
      </c>
      <c r="F20" s="136" t="s">
        <v>16</v>
      </c>
      <c r="G20" s="12">
        <v>1529</v>
      </c>
      <c r="H20" s="12">
        <v>162</v>
      </c>
      <c r="I20" s="135" t="s">
        <v>16</v>
      </c>
      <c r="J20" s="12">
        <v>28206</v>
      </c>
    </row>
    <row r="21" spans="1:10" s="34" customFormat="1" ht="13.5" customHeight="1">
      <c r="A21" s="4">
        <v>2006</v>
      </c>
      <c r="B21" s="159">
        <f t="shared" si="0"/>
        <v>96500</v>
      </c>
      <c r="C21" s="128">
        <f t="shared" si="2"/>
        <v>64043</v>
      </c>
      <c r="D21" s="12">
        <v>62846</v>
      </c>
      <c r="E21" s="12">
        <v>62846</v>
      </c>
      <c r="F21" s="136" t="s">
        <v>16</v>
      </c>
      <c r="G21" s="12">
        <v>996</v>
      </c>
      <c r="H21" s="12">
        <v>201</v>
      </c>
      <c r="I21" s="135" t="s">
        <v>16</v>
      </c>
      <c r="J21" s="12">
        <v>32457</v>
      </c>
    </row>
    <row r="22" spans="1:10" s="34" customFormat="1" ht="13.5" customHeight="1">
      <c r="A22" s="4">
        <v>2007</v>
      </c>
      <c r="B22" s="159">
        <f t="shared" si="0"/>
        <v>112258</v>
      </c>
      <c r="C22" s="128">
        <f t="shared" si="2"/>
        <v>69641</v>
      </c>
      <c r="D22" s="12">
        <v>68360</v>
      </c>
      <c r="E22" s="12">
        <v>68360</v>
      </c>
      <c r="F22" s="136" t="s">
        <v>16</v>
      </c>
      <c r="G22" s="12">
        <v>980</v>
      </c>
      <c r="H22" s="12">
        <v>301</v>
      </c>
      <c r="I22" s="135" t="s">
        <v>16</v>
      </c>
      <c r="J22" s="12">
        <v>42617</v>
      </c>
    </row>
    <row r="23" spans="1:10" ht="13.5" customHeight="1">
      <c r="A23" s="4">
        <v>2008</v>
      </c>
      <c r="B23" s="159">
        <f t="shared" si="0"/>
        <v>112873</v>
      </c>
      <c r="C23" s="128">
        <f t="shared" si="2"/>
        <v>68528</v>
      </c>
      <c r="D23" s="12">
        <v>67222</v>
      </c>
      <c r="E23" s="12">
        <v>67222</v>
      </c>
      <c r="F23" s="136" t="s">
        <v>16</v>
      </c>
      <c r="G23" s="12">
        <v>983</v>
      </c>
      <c r="H23" s="12">
        <v>323</v>
      </c>
      <c r="I23" s="135" t="s">
        <v>16</v>
      </c>
      <c r="J23" s="12">
        <v>44345</v>
      </c>
    </row>
    <row r="24" spans="1:10" ht="13.5" customHeight="1">
      <c r="A24" s="4">
        <v>2009</v>
      </c>
      <c r="B24" s="159">
        <f t="shared" si="0"/>
        <v>117065</v>
      </c>
      <c r="C24" s="128">
        <f t="shared" si="2"/>
        <v>67732</v>
      </c>
      <c r="D24" s="63">
        <v>66010</v>
      </c>
      <c r="E24" s="63">
        <v>66010</v>
      </c>
      <c r="F24" s="136" t="s">
        <v>16</v>
      </c>
      <c r="G24" s="63">
        <v>795</v>
      </c>
      <c r="H24" s="63">
        <v>927</v>
      </c>
      <c r="I24" s="135" t="s">
        <v>16</v>
      </c>
      <c r="J24" s="12">
        <v>49333</v>
      </c>
    </row>
    <row r="25" spans="1:10" ht="13.5" customHeight="1">
      <c r="A25" s="4">
        <v>2010</v>
      </c>
      <c r="B25" s="159">
        <f t="shared" si="0"/>
        <v>128004</v>
      </c>
      <c r="C25" s="128">
        <f t="shared" si="2"/>
        <v>75503</v>
      </c>
      <c r="D25" s="135">
        <v>71881</v>
      </c>
      <c r="E25" s="135">
        <v>71881</v>
      </c>
      <c r="F25" s="136" t="s">
        <v>16</v>
      </c>
      <c r="G25" s="135">
        <v>797</v>
      </c>
      <c r="H25" s="135">
        <v>2825</v>
      </c>
      <c r="I25" s="135" t="s">
        <v>16</v>
      </c>
      <c r="J25" s="136">
        <v>52501</v>
      </c>
    </row>
    <row r="26" spans="1:10" ht="13.5" customHeight="1">
      <c r="A26" s="4">
        <v>2011</v>
      </c>
      <c r="B26" s="159">
        <f t="shared" si="0"/>
        <v>126904</v>
      </c>
      <c r="C26" s="128">
        <f t="shared" si="2"/>
        <v>69221</v>
      </c>
      <c r="D26" s="135">
        <v>62182</v>
      </c>
      <c r="E26" s="135">
        <v>62182</v>
      </c>
      <c r="F26" s="136" t="s">
        <v>16</v>
      </c>
      <c r="G26" s="135">
        <v>876</v>
      </c>
      <c r="H26" s="135">
        <v>6163</v>
      </c>
      <c r="I26" s="135" t="s">
        <v>16</v>
      </c>
      <c r="J26" s="136">
        <v>57683</v>
      </c>
    </row>
    <row r="27" spans="1:10" ht="13.5" customHeight="1">
      <c r="A27" s="4">
        <v>2012</v>
      </c>
      <c r="B27" s="159">
        <f t="shared" si="0"/>
        <v>141941</v>
      </c>
      <c r="C27" s="128">
        <f t="shared" si="2"/>
        <v>83200</v>
      </c>
      <c r="D27" s="135">
        <v>73502</v>
      </c>
      <c r="E27" s="135">
        <v>73502</v>
      </c>
      <c r="F27" s="136" t="s">
        <v>16</v>
      </c>
      <c r="G27" s="135">
        <v>956</v>
      </c>
      <c r="H27" s="135">
        <v>8742</v>
      </c>
      <c r="I27" s="135" t="s">
        <v>16</v>
      </c>
      <c r="J27" s="136">
        <v>58741</v>
      </c>
    </row>
    <row r="28" spans="1:10" ht="13.5" customHeight="1">
      <c r="A28" s="4">
        <v>2013</v>
      </c>
      <c r="B28" s="159">
        <f t="shared" si="0"/>
        <v>133600</v>
      </c>
      <c r="C28" s="128">
        <f t="shared" si="2"/>
        <v>82772</v>
      </c>
      <c r="D28" s="135">
        <v>69212</v>
      </c>
      <c r="E28" s="135">
        <v>69212</v>
      </c>
      <c r="F28" s="136" t="s">
        <v>16</v>
      </c>
      <c r="G28" s="135">
        <v>884</v>
      </c>
      <c r="H28" s="135">
        <v>12676</v>
      </c>
      <c r="I28" s="135" t="s">
        <v>16</v>
      </c>
      <c r="J28" s="136">
        <v>50828</v>
      </c>
    </row>
    <row r="29" spans="1:10" ht="13.5" customHeight="1">
      <c r="A29" s="4">
        <v>2014</v>
      </c>
      <c r="B29" s="159">
        <f t="shared" si="0"/>
        <v>100237.1926826008</v>
      </c>
      <c r="C29" s="128">
        <f t="shared" si="2"/>
        <v>38923.5538826008</v>
      </c>
      <c r="D29" s="128">
        <v>22255</v>
      </c>
      <c r="E29" s="128">
        <v>22255</v>
      </c>
      <c r="F29" s="136" t="s">
        <v>16</v>
      </c>
      <c r="G29" s="128">
        <v>45.2</v>
      </c>
      <c r="H29" s="128">
        <v>16623.3538826008</v>
      </c>
      <c r="I29" s="128">
        <v>1059.3538826007934</v>
      </c>
      <c r="J29" s="130">
        <v>61313.6388</v>
      </c>
    </row>
    <row r="30" spans="1:10" ht="13.5" customHeight="1">
      <c r="A30" s="4">
        <v>2015</v>
      </c>
      <c r="B30" s="159">
        <f t="shared" si="0"/>
        <v>135245.9803236961</v>
      </c>
      <c r="C30" s="128">
        <f t="shared" si="2"/>
        <v>67860.4803236961</v>
      </c>
      <c r="D30" s="128">
        <v>48838.2</v>
      </c>
      <c r="E30" s="128">
        <v>48838.2</v>
      </c>
      <c r="F30" s="136" t="s">
        <v>16</v>
      </c>
      <c r="G30" s="128">
        <v>17</v>
      </c>
      <c r="H30" s="128">
        <v>19005.2803236961</v>
      </c>
      <c r="I30" s="128">
        <v>1617.2803236961008</v>
      </c>
      <c r="J30" s="130">
        <v>67385.5</v>
      </c>
    </row>
    <row r="31" spans="1:10" ht="13.5" customHeight="1">
      <c r="A31" s="4">
        <v>2016</v>
      </c>
      <c r="B31" s="159">
        <f>C31+J31</f>
        <v>151611.3719</v>
      </c>
      <c r="C31" s="128">
        <f>D31+G31+H31</f>
        <v>87443.12</v>
      </c>
      <c r="D31" s="128">
        <f>E31-F31</f>
        <v>67659.92</v>
      </c>
      <c r="E31" s="128">
        <f>'Tabelle 9'!B31</f>
        <v>67793.12</v>
      </c>
      <c r="F31" s="128">
        <v>133.2</v>
      </c>
      <c r="G31" s="128">
        <v>80.2</v>
      </c>
      <c r="H31" s="128">
        <v>19703</v>
      </c>
      <c r="I31" s="128">
        <v>2527.870582686708</v>
      </c>
      <c r="J31" s="130">
        <v>64168.2519</v>
      </c>
    </row>
    <row r="32" spans="1:11" ht="13.5" customHeight="1">
      <c r="A32" s="4">
        <v>2017</v>
      </c>
      <c r="B32" s="187">
        <f>C32+J32</f>
        <v>152567.0799022932</v>
      </c>
      <c r="C32" s="128">
        <f>D32+G32+H32</f>
        <v>90529.4299022932</v>
      </c>
      <c r="D32" s="128">
        <f>E32-F32</f>
        <v>68385.02699999999</v>
      </c>
      <c r="E32" s="128">
        <f>'Tabelle 9'!B32</f>
        <v>68515.99999999999</v>
      </c>
      <c r="F32" s="128">
        <v>130.973</v>
      </c>
      <c r="G32" s="128">
        <v>96.5</v>
      </c>
      <c r="H32" s="128">
        <v>22047.9029022932</v>
      </c>
      <c r="I32" s="128">
        <v>3494.902902293241</v>
      </c>
      <c r="J32" s="128">
        <v>62037.65</v>
      </c>
      <c r="K32" s="143"/>
    </row>
    <row r="33" spans="1:11" ht="13.5" customHeight="1">
      <c r="A33" s="4">
        <v>2018</v>
      </c>
      <c r="B33" s="196">
        <f>C33+J33</f>
        <v>158291.36088729562</v>
      </c>
      <c r="C33" s="195">
        <f>D33+G33+H33</f>
        <v>86818.91088729564</v>
      </c>
      <c r="D33" s="128">
        <f>E33-F33</f>
        <v>61581.69999999999</v>
      </c>
      <c r="E33" s="128">
        <f>'Tabelle 9'!B33</f>
        <v>61867.99999999999</v>
      </c>
      <c r="F33" s="128">
        <v>286.3</v>
      </c>
      <c r="G33" s="128">
        <v>75.1</v>
      </c>
      <c r="H33" s="195">
        <v>25162.110887295647</v>
      </c>
      <c r="I33" s="195">
        <v>4452.1108872956465</v>
      </c>
      <c r="J33" s="128">
        <v>71472.45</v>
      </c>
      <c r="K33" s="143"/>
    </row>
    <row r="34" spans="1:11" ht="13.5" customHeight="1">
      <c r="A34" s="4">
        <v>2019</v>
      </c>
      <c r="B34" s="187">
        <f>C34+J34</f>
        <v>164540.41284999996</v>
      </c>
      <c r="C34" s="128">
        <f>D34+G34+H34</f>
        <v>99526.70654999997</v>
      </c>
      <c r="D34" s="128">
        <f>E34-F34</f>
        <v>73428.99999999997</v>
      </c>
      <c r="E34" s="128">
        <f>'Tabelle 9'!B34</f>
        <v>74497.29999999997</v>
      </c>
      <c r="F34" s="128">
        <v>1068.3</v>
      </c>
      <c r="G34" s="128">
        <v>53.3</v>
      </c>
      <c r="H34" s="128">
        <v>26044.40655</v>
      </c>
      <c r="I34" s="128">
        <v>6875.40655</v>
      </c>
      <c r="J34" s="128">
        <v>65013.7063</v>
      </c>
      <c r="K34" s="143"/>
    </row>
    <row r="35" spans="3:11" ht="11.25">
      <c r="C35" s="143"/>
      <c r="K35" s="143"/>
    </row>
    <row r="36" spans="1:10" ht="11.25">
      <c r="A36" s="210" t="s">
        <v>12</v>
      </c>
      <c r="B36" s="210"/>
      <c r="C36" s="210"/>
      <c r="D36" s="210"/>
      <c r="E36" s="210"/>
      <c r="F36" s="210"/>
      <c r="G36" s="210"/>
      <c r="H36" s="210"/>
      <c r="I36" s="210"/>
      <c r="J36" s="210"/>
    </row>
    <row r="37" spans="1:10" ht="37.5" customHeight="1">
      <c r="A37" s="204" t="s">
        <v>153</v>
      </c>
      <c r="B37" s="212"/>
      <c r="C37" s="212"/>
      <c r="D37" s="212"/>
      <c r="E37" s="212"/>
      <c r="F37" s="212"/>
      <c r="G37" s="212"/>
      <c r="H37" s="212"/>
      <c r="I37" s="212"/>
      <c r="J37" s="212"/>
    </row>
    <row r="38" spans="1:10" ht="37.5" customHeight="1">
      <c r="A38" s="205" t="s">
        <v>208</v>
      </c>
      <c r="B38" s="205"/>
      <c r="C38" s="205"/>
      <c r="D38" s="205"/>
      <c r="E38" s="205"/>
      <c r="F38" s="205"/>
      <c r="G38" s="205"/>
      <c r="H38" s="205"/>
      <c r="I38" s="205"/>
      <c r="J38" s="205"/>
    </row>
  </sheetData>
  <sheetProtection/>
  <mergeCells count="6">
    <mergeCell ref="A37:J37"/>
    <mergeCell ref="A38:J38"/>
    <mergeCell ref="A1:J1"/>
    <mergeCell ref="A3:A4"/>
    <mergeCell ref="C3:I3"/>
    <mergeCell ref="A36:J36"/>
  </mergeCells>
  <printOptions/>
  <pageMargins left="0.787401575" right="0.787401575" top="0.984251969" bottom="0.984251969" header="0.511811023" footer="0.511811023"/>
  <pageSetup fitToHeight="1" fitToWidth="1" horizontalDpi="600" verticalDpi="600" orientation="portrait" paperSize="9" scale="82" r:id="rId2"/>
  <headerFooter alignWithMargins="0">
    <oddFooter>&amp;CSeite &amp;P</oddFooter>
  </headerFooter>
  <drawing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1:H40"/>
  <sheetViews>
    <sheetView showGridLines="0" zoomScale="145" zoomScaleNormal="145" zoomScalePageLayoutView="0" workbookViewId="0" topLeftCell="A1">
      <pane ySplit="4" topLeftCell="A5" activePane="bottomLeft" state="frozen"/>
      <selection pane="topLeft" activeCell="H30" sqref="H30"/>
      <selection pane="bottomLeft" activeCell="H12" sqref="H12"/>
    </sheetView>
  </sheetViews>
  <sheetFormatPr defaultColWidth="10.28125" defaultRowHeight="12.75"/>
  <cols>
    <col min="1" max="1" width="6.7109375" style="35" customWidth="1"/>
    <col min="2" max="2" width="10.140625" style="36" customWidth="1"/>
    <col min="3" max="3" width="10.421875" style="36" customWidth="1"/>
    <col min="4" max="4" width="10.57421875" style="36" customWidth="1"/>
    <col min="5" max="5" width="10.28125" style="121" customWidth="1"/>
    <col min="6" max="16384" width="10.28125" style="35" customWidth="1"/>
  </cols>
  <sheetData>
    <row r="1" spans="1:8" ht="12.75">
      <c r="A1" s="264" t="s">
        <v>149</v>
      </c>
      <c r="B1" s="264"/>
      <c r="C1" s="264"/>
      <c r="D1" s="264"/>
      <c r="E1" s="264"/>
      <c r="F1" s="201"/>
      <c r="G1" s="265"/>
      <c r="H1" s="201"/>
    </row>
    <row r="2" spans="1:5" ht="14.25">
      <c r="A2" s="37"/>
      <c r="E2" s="98" t="s">
        <v>91</v>
      </c>
    </row>
    <row r="3" spans="1:5" s="32" customFormat="1" ht="11.25">
      <c r="A3" s="214" t="s">
        <v>0</v>
      </c>
      <c r="B3" s="213" t="s">
        <v>79</v>
      </c>
      <c r="C3" s="213"/>
      <c r="D3" s="213"/>
      <c r="E3" s="213"/>
    </row>
    <row r="4" spans="1:5" s="97" customFormat="1" ht="22.5">
      <c r="A4" s="214"/>
      <c r="B4" s="69" t="s">
        <v>7</v>
      </c>
      <c r="C4" s="69" t="s">
        <v>84</v>
      </c>
      <c r="D4" s="69" t="s">
        <v>98</v>
      </c>
      <c r="E4" s="69" t="s">
        <v>78</v>
      </c>
    </row>
    <row r="5" spans="1:5" s="34" customFormat="1" ht="18" customHeight="1">
      <c r="A5" s="4">
        <v>1990</v>
      </c>
      <c r="B5" s="12">
        <f aca="true" t="shared" si="0" ref="B5:B27">SUM(C5:E5)</f>
        <v>11921</v>
      </c>
      <c r="C5" s="12">
        <v>11921</v>
      </c>
      <c r="D5" s="12" t="s">
        <v>16</v>
      </c>
      <c r="E5" s="99" t="s">
        <v>16</v>
      </c>
    </row>
    <row r="6" spans="1:5" s="34" customFormat="1" ht="13.5" customHeight="1">
      <c r="A6" s="4">
        <v>1991</v>
      </c>
      <c r="B6" s="12">
        <f t="shared" si="0"/>
        <v>8246</v>
      </c>
      <c r="C6" s="12">
        <v>8246</v>
      </c>
      <c r="D6" s="12" t="s">
        <v>16</v>
      </c>
      <c r="E6" s="99" t="s">
        <v>16</v>
      </c>
    </row>
    <row r="7" spans="1:5" s="34" customFormat="1" ht="13.5" customHeight="1">
      <c r="A7" s="4">
        <v>1992</v>
      </c>
      <c r="B7" s="12">
        <f t="shared" si="0"/>
        <v>11891</v>
      </c>
      <c r="C7" s="12">
        <v>11891</v>
      </c>
      <c r="D7" s="12" t="s">
        <v>16</v>
      </c>
      <c r="E7" s="99" t="s">
        <v>16</v>
      </c>
    </row>
    <row r="8" spans="1:5" s="34" customFormat="1" ht="13.5" customHeight="1">
      <c r="A8" s="4">
        <v>1993</v>
      </c>
      <c r="B8" s="12">
        <f t="shared" si="0"/>
        <v>10799</v>
      </c>
      <c r="C8" s="12">
        <v>10799</v>
      </c>
      <c r="D8" s="12" t="s">
        <v>16</v>
      </c>
      <c r="E8" s="99" t="s">
        <v>16</v>
      </c>
    </row>
    <row r="9" spans="1:5" s="34" customFormat="1" ht="13.5" customHeight="1">
      <c r="A9" s="4">
        <v>1994</v>
      </c>
      <c r="B9" s="12">
        <f t="shared" si="0"/>
        <v>13630</v>
      </c>
      <c r="C9" s="12">
        <v>13630</v>
      </c>
      <c r="D9" s="12" t="s">
        <v>16</v>
      </c>
      <c r="E9" s="99" t="s">
        <v>16</v>
      </c>
    </row>
    <row r="10" spans="1:5" s="34" customFormat="1" ht="18" customHeight="1">
      <c r="A10" s="4">
        <v>1995</v>
      </c>
      <c r="B10" s="12">
        <f t="shared" si="0"/>
        <v>10061</v>
      </c>
      <c r="C10" s="12">
        <v>10061</v>
      </c>
      <c r="D10" s="12" t="s">
        <v>16</v>
      </c>
      <c r="E10" s="99" t="s">
        <v>16</v>
      </c>
    </row>
    <row r="11" spans="1:5" s="34" customFormat="1" ht="13.5" customHeight="1">
      <c r="A11" s="4">
        <v>1996</v>
      </c>
      <c r="B11" s="12">
        <f t="shared" si="0"/>
        <v>9334</v>
      </c>
      <c r="C11" s="12">
        <v>9334</v>
      </c>
      <c r="D11" s="12" t="s">
        <v>16</v>
      </c>
      <c r="E11" s="99" t="s">
        <v>16</v>
      </c>
    </row>
    <row r="12" spans="1:5" s="34" customFormat="1" ht="13.5" customHeight="1">
      <c r="A12" s="4">
        <v>1997</v>
      </c>
      <c r="B12" s="12">
        <f t="shared" si="0"/>
        <v>11534</v>
      </c>
      <c r="C12" s="12">
        <v>11340</v>
      </c>
      <c r="D12" s="12">
        <v>194</v>
      </c>
      <c r="E12" s="99" t="s">
        <v>16</v>
      </c>
    </row>
    <row r="13" spans="1:5" s="34" customFormat="1" ht="13.5" customHeight="1">
      <c r="A13" s="4">
        <v>1998</v>
      </c>
      <c r="B13" s="12">
        <f t="shared" si="0"/>
        <v>13121</v>
      </c>
      <c r="C13" s="12">
        <v>12685</v>
      </c>
      <c r="D13" s="12">
        <v>436</v>
      </c>
      <c r="E13" s="99" t="s">
        <v>16</v>
      </c>
    </row>
    <row r="14" spans="1:5" s="34" customFormat="1" ht="13.5" customHeight="1">
      <c r="A14" s="4">
        <v>1999</v>
      </c>
      <c r="B14" s="12">
        <f t="shared" si="0"/>
        <v>14562</v>
      </c>
      <c r="C14" s="12">
        <v>13922</v>
      </c>
      <c r="D14" s="12">
        <v>640</v>
      </c>
      <c r="E14" s="99" t="s">
        <v>16</v>
      </c>
    </row>
    <row r="15" spans="1:5" s="34" customFormat="1" ht="18" customHeight="1">
      <c r="A15" s="4">
        <v>2000</v>
      </c>
      <c r="B15" s="12">
        <f t="shared" si="0"/>
        <v>25402</v>
      </c>
      <c r="C15" s="12">
        <v>24423</v>
      </c>
      <c r="D15" s="12">
        <v>979</v>
      </c>
      <c r="E15" s="99" t="s">
        <v>16</v>
      </c>
    </row>
    <row r="16" spans="1:5" s="34" customFormat="1" ht="13.5" customHeight="1">
      <c r="A16" s="4">
        <v>2001</v>
      </c>
      <c r="B16" s="12">
        <f t="shared" si="0"/>
        <v>16211</v>
      </c>
      <c r="C16" s="12">
        <v>14943</v>
      </c>
      <c r="D16" s="12">
        <v>1268</v>
      </c>
      <c r="E16" s="99" t="s">
        <v>16</v>
      </c>
    </row>
    <row r="17" spans="1:5" s="34" customFormat="1" ht="13.5" customHeight="1">
      <c r="A17" s="4">
        <v>2002</v>
      </c>
      <c r="B17" s="12">
        <f t="shared" si="0"/>
        <v>17263</v>
      </c>
      <c r="C17" s="12">
        <v>15627</v>
      </c>
      <c r="D17" s="12">
        <v>1636</v>
      </c>
      <c r="E17" s="99" t="s">
        <v>16</v>
      </c>
    </row>
    <row r="18" spans="1:5" s="34" customFormat="1" ht="13.5" customHeight="1">
      <c r="A18" s="4">
        <v>2003</v>
      </c>
      <c r="B18" s="12">
        <f t="shared" si="0"/>
        <v>22799</v>
      </c>
      <c r="C18" s="12">
        <v>20667</v>
      </c>
      <c r="D18" s="12">
        <v>2132</v>
      </c>
      <c r="E18" s="99" t="s">
        <v>16</v>
      </c>
    </row>
    <row r="19" spans="1:5" s="34" customFormat="1" ht="13.5" customHeight="1">
      <c r="A19" s="4">
        <v>2004</v>
      </c>
      <c r="B19" s="12">
        <f t="shared" si="0"/>
        <v>25081</v>
      </c>
      <c r="C19" s="12">
        <v>22602</v>
      </c>
      <c r="D19" s="12">
        <v>2479</v>
      </c>
      <c r="E19" s="99" t="s">
        <v>16</v>
      </c>
    </row>
    <row r="20" spans="1:5" s="34" customFormat="1" ht="18" customHeight="1">
      <c r="A20" s="4">
        <v>2005</v>
      </c>
      <c r="B20" s="12">
        <f t="shared" si="0"/>
        <v>28206</v>
      </c>
      <c r="C20" s="12">
        <v>25022</v>
      </c>
      <c r="D20" s="12">
        <v>3184</v>
      </c>
      <c r="E20" s="99" t="s">
        <v>16</v>
      </c>
    </row>
    <row r="21" spans="1:5" s="34" customFormat="1" ht="13.5" customHeight="1">
      <c r="A21" s="4">
        <v>2006</v>
      </c>
      <c r="B21" s="12">
        <f t="shared" si="0"/>
        <v>32457</v>
      </c>
      <c r="C21" s="12">
        <v>28580</v>
      </c>
      <c r="D21" s="12">
        <v>3877</v>
      </c>
      <c r="E21" s="99" t="s">
        <v>16</v>
      </c>
    </row>
    <row r="22" spans="1:5" s="34" customFormat="1" ht="13.5" customHeight="1">
      <c r="A22" s="4">
        <v>2007</v>
      </c>
      <c r="B22" s="12">
        <f t="shared" si="0"/>
        <v>42617</v>
      </c>
      <c r="C22" s="12">
        <v>38079</v>
      </c>
      <c r="D22" s="12">
        <v>4538</v>
      </c>
      <c r="E22" s="99" t="s">
        <v>16</v>
      </c>
    </row>
    <row r="23" spans="1:5" ht="13.5" customHeight="1">
      <c r="A23" s="4">
        <v>2008</v>
      </c>
      <c r="B23" s="12">
        <f t="shared" si="0"/>
        <v>44345</v>
      </c>
      <c r="C23" s="13">
        <v>38435</v>
      </c>
      <c r="D23" s="13">
        <v>5910</v>
      </c>
      <c r="E23" s="99" t="s">
        <v>16</v>
      </c>
    </row>
    <row r="24" spans="1:5" ht="13.5" customHeight="1">
      <c r="A24" s="4">
        <v>2009</v>
      </c>
      <c r="B24" s="12">
        <f t="shared" si="0"/>
        <v>49333</v>
      </c>
      <c r="C24" s="64">
        <v>42153</v>
      </c>
      <c r="D24" s="64">
        <v>7180</v>
      </c>
      <c r="E24" s="99" t="s">
        <v>16</v>
      </c>
    </row>
    <row r="25" spans="1:5" ht="13.5" customHeight="1">
      <c r="A25" s="4">
        <v>2010</v>
      </c>
      <c r="B25" s="12">
        <f t="shared" si="0"/>
        <v>52501</v>
      </c>
      <c r="C25" s="64">
        <v>44366</v>
      </c>
      <c r="D25" s="64">
        <v>8135</v>
      </c>
      <c r="E25" s="99" t="s">
        <v>16</v>
      </c>
    </row>
    <row r="26" spans="1:5" ht="13.5" customHeight="1">
      <c r="A26" s="4">
        <v>2011</v>
      </c>
      <c r="B26" s="12">
        <f t="shared" si="0"/>
        <v>57683</v>
      </c>
      <c r="C26" s="106">
        <v>48675</v>
      </c>
      <c r="D26" s="106">
        <v>9008</v>
      </c>
      <c r="E26" s="99" t="s">
        <v>16</v>
      </c>
    </row>
    <row r="27" spans="1:5" ht="13.5" customHeight="1">
      <c r="A27" s="4">
        <v>2012</v>
      </c>
      <c r="B27" s="136">
        <f t="shared" si="0"/>
        <v>58741</v>
      </c>
      <c r="C27" s="148">
        <v>49200</v>
      </c>
      <c r="D27" s="106">
        <v>9541</v>
      </c>
      <c r="E27" s="99" t="s">
        <v>16</v>
      </c>
    </row>
    <row r="28" spans="1:5" ht="13.5" customHeight="1">
      <c r="A28" s="4">
        <v>2013</v>
      </c>
      <c r="B28" s="12">
        <f aca="true" t="shared" si="1" ref="B28:B33">SUM(C28:E28)</f>
        <v>50828</v>
      </c>
      <c r="C28" s="106">
        <v>40574</v>
      </c>
      <c r="D28" s="106">
        <v>9882</v>
      </c>
      <c r="E28" s="129">
        <v>372</v>
      </c>
    </row>
    <row r="29" spans="1:5" ht="13.5" customHeight="1">
      <c r="A29" s="4">
        <v>2014</v>
      </c>
      <c r="B29" s="130">
        <f t="shared" si="1"/>
        <v>61313.6388</v>
      </c>
      <c r="C29" s="148">
        <v>45345</v>
      </c>
      <c r="D29" s="67">
        <v>10146.15</v>
      </c>
      <c r="E29" s="147">
        <v>5822.4888</v>
      </c>
    </row>
    <row r="30" spans="1:5" ht="13.5" customHeight="1">
      <c r="A30" s="4">
        <v>2015</v>
      </c>
      <c r="B30" s="130">
        <f t="shared" si="1"/>
        <v>67385.5</v>
      </c>
      <c r="C30" s="148">
        <v>50900</v>
      </c>
      <c r="D30" s="67">
        <v>10255.5</v>
      </c>
      <c r="E30" s="147">
        <v>6230</v>
      </c>
    </row>
    <row r="31" spans="1:5" ht="13.5" customHeight="1">
      <c r="A31" s="4">
        <v>2016</v>
      </c>
      <c r="B31" s="130">
        <f t="shared" si="1"/>
        <v>64168.2519</v>
      </c>
      <c r="C31" s="148">
        <v>48246</v>
      </c>
      <c r="D31" s="67">
        <v>10315.800000000001</v>
      </c>
      <c r="E31" s="147">
        <v>5606.4519</v>
      </c>
    </row>
    <row r="32" spans="1:5" ht="13.5" customHeight="1">
      <c r="A32" s="4">
        <v>2017</v>
      </c>
      <c r="B32" s="130">
        <f t="shared" si="1"/>
        <v>62037.65</v>
      </c>
      <c r="C32" s="148">
        <v>45370</v>
      </c>
      <c r="D32" s="67">
        <v>10420.65</v>
      </c>
      <c r="E32" s="147">
        <v>6247</v>
      </c>
    </row>
    <row r="33" spans="1:5" ht="13.5" customHeight="1">
      <c r="A33" s="4">
        <v>2018</v>
      </c>
      <c r="B33" s="128">
        <f t="shared" si="1"/>
        <v>71472.45</v>
      </c>
      <c r="C33" s="148">
        <v>54584</v>
      </c>
      <c r="D33" s="67">
        <v>10278.45</v>
      </c>
      <c r="E33" s="147">
        <v>6610</v>
      </c>
    </row>
    <row r="34" spans="1:5" ht="13.5" customHeight="1">
      <c r="A34" s="4">
        <v>2019</v>
      </c>
      <c r="B34" s="128">
        <f>SUM(C34:E34)</f>
        <v>65013.7063</v>
      </c>
      <c r="C34" s="148">
        <v>48104</v>
      </c>
      <c r="D34" s="67">
        <v>10053.949999999999</v>
      </c>
      <c r="E34" s="147">
        <v>6855.7563</v>
      </c>
    </row>
    <row r="35" ht="11.25">
      <c r="D35" s="186"/>
    </row>
    <row r="36" spans="1:5" s="161" customFormat="1" ht="11.25">
      <c r="A36" s="216" t="s">
        <v>12</v>
      </c>
      <c r="B36" s="216"/>
      <c r="C36" s="216"/>
      <c r="D36" s="216"/>
      <c r="E36" s="160"/>
    </row>
    <row r="37" spans="1:5" s="161" customFormat="1" ht="35.25" customHeight="1">
      <c r="A37" s="215" t="s">
        <v>209</v>
      </c>
      <c r="B37" s="217"/>
      <c r="C37" s="217"/>
      <c r="D37" s="217"/>
      <c r="E37" s="217"/>
    </row>
    <row r="38" spans="1:5" s="161" customFormat="1" ht="53.25" customHeight="1">
      <c r="A38" s="215" t="s">
        <v>158</v>
      </c>
      <c r="B38" s="215"/>
      <c r="C38" s="215"/>
      <c r="D38" s="215"/>
      <c r="E38" s="215"/>
    </row>
    <row r="39" spans="2:5" s="161" customFormat="1" ht="11.25">
      <c r="B39" s="162"/>
      <c r="C39" s="162"/>
      <c r="D39" s="162"/>
      <c r="E39" s="160"/>
    </row>
    <row r="40" spans="2:5" s="161" customFormat="1" ht="11.25">
      <c r="B40" s="162"/>
      <c r="C40" s="162"/>
      <c r="D40" s="162"/>
      <c r="E40" s="160"/>
    </row>
  </sheetData>
  <sheetProtection/>
  <mergeCells count="5">
    <mergeCell ref="A38:E38"/>
    <mergeCell ref="A3:A4"/>
    <mergeCell ref="B3:E3"/>
    <mergeCell ref="A36:D36"/>
    <mergeCell ref="A37:E37"/>
  </mergeCells>
  <printOptions/>
  <pageMargins left="0.787401575" right="0.787401575" top="0.984251969" bottom="0.984251969" header="0.511811023" footer="0.511811023"/>
  <pageSetup fitToHeight="1" fitToWidth="1" horizontalDpi="300" verticalDpi="300" orientation="portrait" paperSize="9" r:id="rId2"/>
  <headerFooter alignWithMargins="0">
    <oddFooter>&amp;CSeite &amp;P</oddFooter>
  </headerFooter>
  <drawing r:id="rId1"/>
</worksheet>
</file>

<file path=xl/worksheets/sheet9.xml><?xml version="1.0" encoding="utf-8"?>
<worksheet xmlns="http://schemas.openxmlformats.org/spreadsheetml/2006/main" xmlns:r="http://schemas.openxmlformats.org/officeDocument/2006/relationships">
  <sheetPr>
    <tabColor rgb="FF92D050"/>
    <pageSetUpPr fitToPage="1"/>
  </sheetPr>
  <dimension ref="A1:D34"/>
  <sheetViews>
    <sheetView showGridLines="0" zoomScale="130" zoomScaleNormal="130" zoomScalePageLayoutView="0" workbookViewId="0" topLeftCell="A1">
      <selection activeCell="G16" sqref="G16"/>
    </sheetView>
  </sheetViews>
  <sheetFormatPr defaultColWidth="10.28125" defaultRowHeight="12.75"/>
  <cols>
    <col min="1" max="1" width="13.00390625" style="9" customWidth="1"/>
    <col min="2" max="4" width="13.00390625" style="44" customWidth="1"/>
    <col min="5" max="16384" width="10.28125" style="9" customWidth="1"/>
  </cols>
  <sheetData>
    <row r="1" spans="1:4" ht="13.5" customHeight="1">
      <c r="A1" s="202" t="s">
        <v>60</v>
      </c>
      <c r="B1" s="202"/>
      <c r="C1" s="202"/>
      <c r="D1" s="202"/>
    </row>
    <row r="2" ht="11.25">
      <c r="D2" s="98" t="s">
        <v>92</v>
      </c>
    </row>
    <row r="3" spans="1:4" s="38" customFormat="1" ht="11.25">
      <c r="A3" s="152" t="s">
        <v>0</v>
      </c>
      <c r="B3" s="89" t="s">
        <v>7</v>
      </c>
      <c r="C3" s="94" t="s">
        <v>5</v>
      </c>
      <c r="D3" s="94" t="s">
        <v>78</v>
      </c>
    </row>
    <row r="4" spans="1:4" s="5" customFormat="1" ht="18" customHeight="1">
      <c r="A4" s="39">
        <v>1990</v>
      </c>
      <c r="B4" s="65">
        <f>C4</f>
        <v>123</v>
      </c>
      <c r="C4" s="65">
        <v>123</v>
      </c>
      <c r="D4" s="45" t="s">
        <v>16</v>
      </c>
    </row>
    <row r="5" spans="1:4" s="5" customFormat="1" ht="13.5" customHeight="1">
      <c r="A5" s="39">
        <v>1991</v>
      </c>
      <c r="B5" s="65">
        <f aca="true" t="shared" si="0" ref="B5:B30">C5+D5</f>
        <v>986</v>
      </c>
      <c r="C5" s="65">
        <v>928</v>
      </c>
      <c r="D5" s="45">
        <v>58</v>
      </c>
    </row>
    <row r="6" spans="1:4" s="5" customFormat="1" ht="13.5" customHeight="1">
      <c r="A6" s="39">
        <v>1992</v>
      </c>
      <c r="B6" s="65">
        <f t="shared" si="0"/>
        <v>3180</v>
      </c>
      <c r="C6" s="65">
        <v>2309</v>
      </c>
      <c r="D6" s="45">
        <v>871</v>
      </c>
    </row>
    <row r="7" spans="1:4" s="5" customFormat="1" ht="13.5" customHeight="1">
      <c r="A7" s="39">
        <v>1993</v>
      </c>
      <c r="B7" s="65">
        <f t="shared" si="0"/>
        <v>3143</v>
      </c>
      <c r="C7" s="65">
        <v>2272</v>
      </c>
      <c r="D7" s="45">
        <v>871</v>
      </c>
    </row>
    <row r="8" spans="1:4" s="5" customFormat="1" ht="13.5" customHeight="1">
      <c r="A8" s="39">
        <v>1994</v>
      </c>
      <c r="B8" s="65">
        <f t="shared" si="0"/>
        <v>3313</v>
      </c>
      <c r="C8" s="65">
        <v>2243</v>
      </c>
      <c r="D8" s="45">
        <v>1070</v>
      </c>
    </row>
    <row r="9" spans="1:4" s="5" customFormat="1" ht="18" customHeight="1">
      <c r="A9" s="39">
        <v>1995</v>
      </c>
      <c r="B9" s="65">
        <f t="shared" si="0"/>
        <v>3331</v>
      </c>
      <c r="C9" s="65">
        <v>2458</v>
      </c>
      <c r="D9" s="45">
        <v>873</v>
      </c>
    </row>
    <row r="10" spans="1:4" s="5" customFormat="1" ht="13.5" customHeight="1">
      <c r="A10" s="39">
        <v>1996</v>
      </c>
      <c r="B10" s="65">
        <f t="shared" si="0"/>
        <v>4162</v>
      </c>
      <c r="C10" s="65">
        <v>3080</v>
      </c>
      <c r="D10" s="45">
        <v>1082</v>
      </c>
    </row>
    <row r="11" spans="1:4" s="5" customFormat="1" ht="13.5" customHeight="1">
      <c r="A11" s="39">
        <v>1997</v>
      </c>
      <c r="B11" s="65">
        <f t="shared" si="0"/>
        <v>4095</v>
      </c>
      <c r="C11" s="65">
        <v>2859</v>
      </c>
      <c r="D11" s="45">
        <v>1236</v>
      </c>
    </row>
    <row r="12" spans="1:4" s="5" customFormat="1" ht="13.5" customHeight="1">
      <c r="A12" s="39">
        <v>1998</v>
      </c>
      <c r="B12" s="65">
        <f t="shared" si="0"/>
        <v>4654</v>
      </c>
      <c r="C12" s="65">
        <v>3352</v>
      </c>
      <c r="D12" s="45">
        <v>1302</v>
      </c>
    </row>
    <row r="13" spans="1:4" s="5" customFormat="1" ht="13.5" customHeight="1">
      <c r="A13" s="39">
        <v>1999</v>
      </c>
      <c r="B13" s="65">
        <f t="shared" si="0"/>
        <v>4359</v>
      </c>
      <c r="C13" s="65">
        <v>3018</v>
      </c>
      <c r="D13" s="45">
        <v>1341</v>
      </c>
    </row>
    <row r="14" spans="1:4" s="5" customFormat="1" ht="18" customHeight="1">
      <c r="A14" s="39">
        <v>2000</v>
      </c>
      <c r="B14" s="65">
        <f t="shared" si="0"/>
        <v>4384</v>
      </c>
      <c r="C14" s="65">
        <v>2960</v>
      </c>
      <c r="D14" s="45">
        <v>1424</v>
      </c>
    </row>
    <row r="15" spans="1:4" s="5" customFormat="1" ht="13.5" customHeight="1">
      <c r="A15" s="39">
        <v>2001</v>
      </c>
      <c r="B15" s="65">
        <f t="shared" si="0"/>
        <v>4266</v>
      </c>
      <c r="C15" s="65">
        <v>2874</v>
      </c>
      <c r="D15" s="45">
        <v>1392</v>
      </c>
    </row>
    <row r="16" spans="1:4" s="5" customFormat="1" ht="13.5" customHeight="1">
      <c r="A16" s="39">
        <v>2002</v>
      </c>
      <c r="B16" s="65">
        <f t="shared" si="0"/>
        <v>4618</v>
      </c>
      <c r="C16" s="65">
        <v>3330</v>
      </c>
      <c r="D16" s="45">
        <v>1288</v>
      </c>
    </row>
    <row r="17" spans="1:4" s="5" customFormat="1" ht="13.5" customHeight="1">
      <c r="A17" s="39">
        <v>2003</v>
      </c>
      <c r="B17" s="65">
        <f t="shared" si="0"/>
        <v>4349</v>
      </c>
      <c r="C17" s="65">
        <v>2997</v>
      </c>
      <c r="D17" s="45">
        <v>1352</v>
      </c>
    </row>
    <row r="18" spans="1:4" s="5" customFormat="1" ht="13.5" customHeight="1">
      <c r="A18" s="39">
        <v>2004</v>
      </c>
      <c r="B18" s="65">
        <f t="shared" si="0"/>
        <v>4376</v>
      </c>
      <c r="C18" s="65">
        <v>3196</v>
      </c>
      <c r="D18" s="45">
        <f>1154+26</f>
        <v>1180</v>
      </c>
    </row>
    <row r="19" spans="1:4" s="5" customFormat="1" ht="18" customHeight="1">
      <c r="A19" s="39">
        <v>2005</v>
      </c>
      <c r="B19" s="65">
        <f t="shared" si="0"/>
        <v>4930</v>
      </c>
      <c r="C19" s="65">
        <v>3401</v>
      </c>
      <c r="D19" s="45">
        <v>1529</v>
      </c>
    </row>
    <row r="20" spans="1:4" s="5" customFormat="1" ht="13.5" customHeight="1">
      <c r="A20" s="39">
        <v>2006</v>
      </c>
      <c r="B20" s="65">
        <f t="shared" si="0"/>
        <v>4088</v>
      </c>
      <c r="C20" s="65">
        <v>3092</v>
      </c>
      <c r="D20" s="45">
        <v>996</v>
      </c>
    </row>
    <row r="21" spans="1:4" s="5" customFormat="1" ht="13.5" customHeight="1">
      <c r="A21" s="39">
        <v>2007</v>
      </c>
      <c r="B21" s="65">
        <f t="shared" si="0"/>
        <v>3612</v>
      </c>
      <c r="C21" s="65">
        <v>2632</v>
      </c>
      <c r="D21" s="45">
        <v>980</v>
      </c>
    </row>
    <row r="22" spans="1:4" ht="13.5" customHeight="1">
      <c r="A22" s="39">
        <v>2008</v>
      </c>
      <c r="B22" s="65">
        <f t="shared" si="0"/>
        <v>3848</v>
      </c>
      <c r="C22" s="65">
        <v>2865</v>
      </c>
      <c r="D22" s="45">
        <v>983</v>
      </c>
    </row>
    <row r="23" spans="1:4" ht="13.5" customHeight="1">
      <c r="A23" s="39">
        <v>2009</v>
      </c>
      <c r="B23" s="65">
        <f t="shared" si="0"/>
        <v>4063</v>
      </c>
      <c r="C23" s="65">
        <v>3268</v>
      </c>
      <c r="D23" s="65">
        <v>795</v>
      </c>
    </row>
    <row r="24" spans="1:4" ht="21" customHeight="1">
      <c r="A24" s="39">
        <v>2010</v>
      </c>
      <c r="B24" s="65">
        <f t="shared" si="0"/>
        <v>4266</v>
      </c>
      <c r="C24" s="65">
        <v>3469</v>
      </c>
      <c r="D24" s="65">
        <v>797</v>
      </c>
    </row>
    <row r="25" spans="1:4" ht="13.5" customHeight="1">
      <c r="A25" s="39">
        <v>2011</v>
      </c>
      <c r="B25" s="105">
        <f t="shared" si="0"/>
        <v>3894.4</v>
      </c>
      <c r="C25" s="105">
        <v>3018.4</v>
      </c>
      <c r="D25" s="65">
        <v>876</v>
      </c>
    </row>
    <row r="26" spans="1:4" ht="13.5" customHeight="1">
      <c r="A26" s="39">
        <v>2012</v>
      </c>
      <c r="B26" s="105">
        <f t="shared" si="0"/>
        <v>3617.603</v>
      </c>
      <c r="C26" s="105">
        <v>2661.603</v>
      </c>
      <c r="D26" s="65">
        <v>956</v>
      </c>
    </row>
    <row r="27" spans="1:4" ht="13.5" customHeight="1">
      <c r="A27" s="39">
        <v>2013</v>
      </c>
      <c r="B27" s="105">
        <f t="shared" si="0"/>
        <v>3415.3999999999996</v>
      </c>
      <c r="C27" s="105">
        <v>2531.1</v>
      </c>
      <c r="D27" s="105">
        <v>884.3</v>
      </c>
    </row>
    <row r="28" spans="1:4" ht="13.5" customHeight="1">
      <c r="A28" s="39">
        <v>2014</v>
      </c>
      <c r="B28" s="105">
        <f t="shared" si="0"/>
        <v>2567.3999999999996</v>
      </c>
      <c r="C28" s="105">
        <v>2522.2</v>
      </c>
      <c r="D28" s="105">
        <v>45.2</v>
      </c>
    </row>
    <row r="29" spans="1:4" ht="13.5" customHeight="1">
      <c r="A29" s="39">
        <v>2015</v>
      </c>
      <c r="B29" s="105">
        <f>C29+D29</f>
        <v>2205</v>
      </c>
      <c r="C29" s="105">
        <v>2188</v>
      </c>
      <c r="D29" s="105">
        <v>17</v>
      </c>
    </row>
    <row r="30" spans="1:4" ht="13.5" customHeight="1">
      <c r="A30" s="39">
        <v>2016</v>
      </c>
      <c r="B30" s="105">
        <f t="shared" si="0"/>
        <v>2349</v>
      </c>
      <c r="C30" s="105">
        <v>2268.8</v>
      </c>
      <c r="D30" s="105">
        <v>80.2</v>
      </c>
    </row>
    <row r="31" spans="1:4" ht="13.5" customHeight="1">
      <c r="A31" s="39">
        <v>2017</v>
      </c>
      <c r="B31" s="105">
        <f>C31+D31</f>
        <v>2199</v>
      </c>
      <c r="C31" s="105">
        <v>2102.5</v>
      </c>
      <c r="D31" s="105">
        <v>96.5</v>
      </c>
    </row>
    <row r="32" spans="1:4" ht="13.5" customHeight="1">
      <c r="A32" s="39">
        <v>2018</v>
      </c>
      <c r="B32" s="105">
        <f>C32+D32</f>
        <v>1928</v>
      </c>
      <c r="C32" s="105">
        <v>1852.9</v>
      </c>
      <c r="D32" s="105">
        <v>75.1</v>
      </c>
    </row>
    <row r="33" spans="1:4" ht="13.5" customHeight="1">
      <c r="A33" s="39">
        <v>2019</v>
      </c>
      <c r="B33" s="105">
        <f>C33+D33</f>
        <v>2032</v>
      </c>
      <c r="C33" s="105">
        <v>1978.7</v>
      </c>
      <c r="D33" s="105">
        <v>53.3</v>
      </c>
    </row>
    <row r="34" spans="2:4" ht="11.25">
      <c r="B34" s="253"/>
      <c r="C34" s="253"/>
      <c r="D34" s="253"/>
    </row>
  </sheetData>
  <sheetProtection/>
  <mergeCells count="1">
    <mergeCell ref="A1:D1"/>
  </mergeCells>
  <printOptions/>
  <pageMargins left="0.787401575" right="0.787401575" top="0.984251969" bottom="0.984251969" header="0.511811023" footer="0.511811023"/>
  <pageSetup fitToHeight="1" fitToWidth="1" horizontalDpi="300" verticalDpi="300" orientation="portrait" paperSize="9" r:id="rId2"/>
  <headerFooter alignWithMargins="0">
    <oddFooter>&amp;CSeite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Brunhart Christian</dc:creator>
  <cp:keywords/>
  <dc:description/>
  <cp:lastModifiedBy>Schwarz Brigitte</cp:lastModifiedBy>
  <cp:lastPrinted>2020-06-04T13:26:39Z</cp:lastPrinted>
  <dcterms:created xsi:type="dcterms:W3CDTF">2010-04-12T12:20:44Z</dcterms:created>
  <dcterms:modified xsi:type="dcterms:W3CDTF">2020-06-26T11:28:09Z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