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Egovernment\Statistikportal\Bereich-Aktuelle_Zahlen\09_Staat_und_Politik\Steuern_Abgaben\"/>
    </mc:Choice>
  </mc:AlternateContent>
  <xr:revisionPtr revIDLastSave="0" documentId="13_ncr:1_{131340D1-5B9A-4591-B631-74FE79987E5B}" xr6:coauthVersionLast="36" xr6:coauthVersionMax="36" xr10:uidLastSave="{00000000-0000-0000-0000-000000000000}"/>
  <bookViews>
    <workbookView xWindow="675" yWindow="975" windowWidth="13110" windowHeight="10980" tabRatio="953" activeTab="1" xr2:uid="{00000000-000D-0000-FFFF-FFFF00000000}"/>
  </bookViews>
  <sheets>
    <sheet name="Metadaten" sheetId="102" r:id="rId1"/>
    <sheet name="Inhalt" sheetId="90" r:id="rId2"/>
    <sheet name="Kennzahlen" sheetId="96" r:id="rId3"/>
    <sheet name="1" sheetId="1" r:id="rId4"/>
    <sheet name="Steuerarten" sheetId="95" r:id="rId5"/>
    <sheet name="2.1.1" sheetId="2" r:id="rId6"/>
    <sheet name="2.1.3" sheetId="30" r:id="rId7"/>
    <sheet name="2.2.1" sheetId="75" r:id="rId8"/>
    <sheet name="2.2.3" sheetId="32" r:id="rId9"/>
    <sheet name="2.2.5" sheetId="31" r:id="rId10"/>
    <sheet name="2.2.6" sheetId="49" r:id="rId11"/>
    <sheet name="2.2.7" sheetId="52" r:id="rId12"/>
    <sheet name="2.4.1" sheetId="7" r:id="rId13"/>
    <sheet name="2.4.3" sheetId="10" r:id="rId14"/>
    <sheet name="2.5.1" sheetId="11" r:id="rId15"/>
    <sheet name="2.6.1" sheetId="9" r:id="rId16"/>
    <sheet name="2.9.1" sheetId="14" r:id="rId17"/>
    <sheet name="2.9.3" sheetId="36" r:id="rId18"/>
    <sheet name="2.10.1" sheetId="13" r:id="rId19"/>
    <sheet name="2.11.1" sheetId="12" r:id="rId20"/>
    <sheet name="2.11.3" sheetId="40" r:id="rId21"/>
    <sheet name="2.13.1" sheetId="19" r:id="rId22"/>
    <sheet name="2.14.1" sheetId="18" r:id="rId23"/>
    <sheet name="Struktur" sheetId="97" r:id="rId24"/>
    <sheet name="3.1.1" sheetId="17" r:id="rId25"/>
    <sheet name="3.2.1" sheetId="21" r:id="rId26"/>
    <sheet name="3.2.3" sheetId="22" r:id="rId27"/>
    <sheet name="3.2.3 E" sheetId="38" r:id="rId28"/>
    <sheet name="3.3.1" sheetId="23" r:id="rId29"/>
    <sheet name="3.3.1 E" sheetId="39" r:id="rId30"/>
    <sheet name="Steuerbelastung NP" sheetId="98" r:id="rId31"/>
    <sheet name="4.1" sheetId="91" r:id="rId32"/>
    <sheet name="4.2" sheetId="92" r:id="rId33"/>
    <sheet name="4.3" sheetId="93" r:id="rId34"/>
    <sheet name="4.4" sheetId="94" r:id="rId35"/>
    <sheet name="Steuerbelastung JP" sheetId="99" r:id="rId36"/>
    <sheet name="5.1" sheetId="45" r:id="rId37"/>
    <sheet name="5.2" sheetId="46" r:id="rId38"/>
    <sheet name="Zeitreihen" sheetId="101" r:id="rId39"/>
    <sheet name="7.1" sheetId="25" r:id="rId40"/>
    <sheet name="7.2" sheetId="26" r:id="rId41"/>
    <sheet name="7.3" sheetId="28" r:id="rId42"/>
    <sheet name="7.4" sheetId="27" r:id="rId43"/>
    <sheet name="7.5" sheetId="24" r:id="rId44"/>
    <sheet name="7.6" sheetId="37" r:id="rId45"/>
  </sheets>
  <calcPr calcId="191029"/>
  <customWorkbookViews>
    <customWorkbookView name="Zoomansicht" guid="{9E4C61FA-E6D1-438A-8921-8C22C886D6BA}" maximized="1" windowWidth="1270" windowHeight="806" activeSheetId="1"/>
  </customWorkbookViews>
</workbook>
</file>

<file path=xl/calcChain.xml><?xml version="1.0" encoding="utf-8"?>
<calcChain xmlns="http://schemas.openxmlformats.org/spreadsheetml/2006/main">
  <c r="B11" i="18" l="1"/>
  <c r="D34" i="18" l="1"/>
  <c r="E41" i="37"/>
  <c r="F41" i="37"/>
  <c r="C41" i="37"/>
  <c r="E40" i="24"/>
  <c r="C40" i="24"/>
  <c r="G39" i="27"/>
  <c r="G39" i="28"/>
  <c r="E39" i="28"/>
  <c r="C39" i="28"/>
  <c r="G39" i="26"/>
  <c r="E39" i="26"/>
  <c r="C39" i="26"/>
  <c r="C33" i="25"/>
  <c r="C31" i="25"/>
  <c r="E31" i="25"/>
  <c r="C33" i="92"/>
  <c r="C35" i="92" s="1"/>
  <c r="C37" i="92" s="1"/>
  <c r="D33" i="92"/>
  <c r="D35" i="92" s="1"/>
  <c r="D37" i="92" s="1"/>
  <c r="E33" i="92"/>
  <c r="E35" i="92" s="1"/>
  <c r="F33" i="92"/>
  <c r="F35" i="92" s="1"/>
  <c r="F37" i="92" s="1"/>
  <c r="G33" i="92"/>
  <c r="G35" i="92" s="1"/>
  <c r="H33" i="92"/>
  <c r="H35" i="92" s="1"/>
  <c r="H39" i="92" s="1"/>
  <c r="B33" i="92"/>
  <c r="B35" i="92" s="1"/>
  <c r="C33" i="91"/>
  <c r="C35" i="91" s="1"/>
  <c r="D33" i="91"/>
  <c r="D35" i="91" s="1"/>
  <c r="D39" i="91" s="1"/>
  <c r="E33" i="91"/>
  <c r="E35" i="91" s="1"/>
  <c r="F33" i="91"/>
  <c r="F35" i="91" s="1"/>
  <c r="F39" i="91" s="1"/>
  <c r="G33" i="91"/>
  <c r="G35" i="91" s="1"/>
  <c r="H33" i="91"/>
  <c r="H35" i="91" s="1"/>
  <c r="B33" i="91"/>
  <c r="B35" i="91" s="1"/>
  <c r="C11" i="94"/>
  <c r="C12" i="94" s="1"/>
  <c r="B11" i="94"/>
  <c r="B12" i="94" s="1"/>
  <c r="D33" i="94"/>
  <c r="D35" i="94" s="1"/>
  <c r="D39" i="94" s="1"/>
  <c r="E33" i="94"/>
  <c r="E35" i="94" s="1"/>
  <c r="F33" i="94"/>
  <c r="F35" i="94" s="1"/>
  <c r="G33" i="94"/>
  <c r="G35" i="94" s="1"/>
  <c r="G37" i="94" s="1"/>
  <c r="H33" i="94"/>
  <c r="H35" i="94" s="1"/>
  <c r="C33" i="94"/>
  <c r="C35" i="94"/>
  <c r="B33" i="94"/>
  <c r="B35" i="94" s="1"/>
  <c r="B39" i="94" s="1"/>
  <c r="H33" i="93"/>
  <c r="H35" i="93" s="1"/>
  <c r="H39" i="93" s="1"/>
  <c r="C33" i="93"/>
  <c r="C35" i="93" s="1"/>
  <c r="D33" i="93"/>
  <c r="D35" i="93" s="1"/>
  <c r="D39" i="93" s="1"/>
  <c r="E33" i="93"/>
  <c r="E35" i="93" s="1"/>
  <c r="F33" i="93"/>
  <c r="F35" i="93" s="1"/>
  <c r="G33" i="93"/>
  <c r="G35" i="93" s="1"/>
  <c r="B33" i="93"/>
  <c r="B35" i="93" s="1"/>
  <c r="D29" i="22"/>
  <c r="C24" i="18"/>
  <c r="D11" i="2"/>
  <c r="C21" i="52"/>
  <c r="C15" i="52"/>
  <c r="C12" i="52"/>
  <c r="D12" i="52" s="1"/>
  <c r="D28" i="32"/>
  <c r="B26" i="32"/>
  <c r="C26" i="32"/>
  <c r="C10" i="52"/>
  <c r="C16" i="36"/>
  <c r="C17" i="36"/>
  <c r="C12" i="36"/>
  <c r="C11" i="18"/>
  <c r="C10" i="18" s="1"/>
  <c r="C12" i="18"/>
  <c r="B10" i="18"/>
  <c r="C12" i="2"/>
  <c r="E43" i="37"/>
  <c r="C43" i="37"/>
  <c r="E42" i="24"/>
  <c r="C42" i="24"/>
  <c r="G41" i="27"/>
  <c r="G41" i="28"/>
  <c r="E41" i="28"/>
  <c r="C41" i="28"/>
  <c r="G41" i="26"/>
  <c r="E41" i="26"/>
  <c r="C41" i="26"/>
  <c r="E33" i="25"/>
  <c r="C25" i="21"/>
  <c r="B25" i="21"/>
  <c r="C23" i="17"/>
  <c r="B23" i="17"/>
  <c r="B24" i="18"/>
  <c r="B12" i="18"/>
  <c r="B26" i="19"/>
  <c r="B14" i="19"/>
  <c r="B21" i="40"/>
  <c r="B15" i="40"/>
  <c r="B12" i="40"/>
  <c r="B10" i="40" s="1"/>
  <c r="B25" i="12"/>
  <c r="B28" i="12" s="1"/>
  <c r="B31" i="12" s="1"/>
  <c r="B12" i="13"/>
  <c r="B17" i="36"/>
  <c r="B16" i="36"/>
  <c r="B12" i="36"/>
  <c r="B33" i="14"/>
  <c r="B28" i="14"/>
  <c r="B26" i="14" s="1"/>
  <c r="B14" i="14"/>
  <c r="B12" i="9"/>
  <c r="D12" i="9" s="1"/>
  <c r="B22" i="10"/>
  <c r="C31" i="7"/>
  <c r="D43" i="7" s="1"/>
  <c r="D31" i="7" s="1"/>
  <c r="B31" i="7"/>
  <c r="B12" i="7"/>
  <c r="B16" i="7" s="1"/>
  <c r="B21" i="52"/>
  <c r="B15" i="52"/>
  <c r="B12" i="52"/>
  <c r="D18" i="49"/>
  <c r="C18" i="49"/>
  <c r="B18" i="49"/>
  <c r="B14" i="32"/>
  <c r="B22" i="75"/>
  <c r="B21" i="75"/>
  <c r="B12" i="75"/>
  <c r="B14" i="75" s="1"/>
  <c r="C30" i="2"/>
  <c r="B30" i="2"/>
  <c r="B32" i="2"/>
  <c r="B20" i="2"/>
  <c r="B19" i="2"/>
  <c r="B12" i="2"/>
  <c r="B18" i="2"/>
  <c r="E34" i="1"/>
  <c r="B35" i="1"/>
  <c r="B34" i="1"/>
  <c r="C32" i="1"/>
  <c r="D32" i="1"/>
  <c r="E32" i="1"/>
  <c r="F32" i="1"/>
  <c r="B32" i="1"/>
  <c r="F20" i="1"/>
  <c r="F37" i="1"/>
  <c r="E20" i="1"/>
  <c r="D20" i="1"/>
  <c r="C20" i="1"/>
  <c r="B20" i="1"/>
  <c r="B37" i="1" s="1"/>
  <c r="B38" i="1"/>
  <c r="B39" i="1"/>
  <c r="D14" i="30"/>
  <c r="E37" i="1"/>
  <c r="B25" i="17"/>
  <c r="F40" i="37"/>
  <c r="C14" i="19"/>
  <c r="D14" i="19"/>
  <c r="C26" i="19"/>
  <c r="D28" i="19" s="1"/>
  <c r="C25" i="12"/>
  <c r="D25" i="12"/>
  <c r="C12" i="13"/>
  <c r="C33" i="14"/>
  <c r="C26" i="14" s="1"/>
  <c r="D28" i="14" s="1"/>
  <c r="C14" i="14"/>
  <c r="D14" i="14"/>
  <c r="C22" i="10"/>
  <c r="C12" i="7"/>
  <c r="C16" i="7"/>
  <c r="D16" i="7" s="1"/>
  <c r="C21" i="75"/>
  <c r="C22" i="75"/>
  <c r="C12" i="75"/>
  <c r="C14" i="75" s="1"/>
  <c r="C34" i="75" s="1"/>
  <c r="D39" i="75"/>
  <c r="C20" i="2"/>
  <c r="C19" i="2"/>
  <c r="D19" i="2" s="1"/>
  <c r="D10" i="2"/>
  <c r="C40" i="37"/>
  <c r="E40" i="37"/>
  <c r="C39" i="24"/>
  <c r="E39" i="24"/>
  <c r="G38" i="27"/>
  <c r="C38" i="28"/>
  <c r="E38" i="28"/>
  <c r="G38" i="28"/>
  <c r="C38" i="26"/>
  <c r="E38" i="26"/>
  <c r="G38" i="26"/>
  <c r="E30" i="25"/>
  <c r="C30" i="25"/>
  <c r="C31" i="23"/>
  <c r="B31" i="23"/>
  <c r="D38" i="22"/>
  <c r="D30" i="22"/>
  <c r="D20" i="22"/>
  <c r="D16" i="22"/>
  <c r="B26" i="17"/>
  <c r="D17" i="36"/>
  <c r="D34" i="52"/>
  <c r="D26" i="32"/>
  <c r="D37" i="1"/>
  <c r="C26" i="17"/>
  <c r="D11" i="9"/>
  <c r="D29" i="18"/>
  <c r="E35" i="1"/>
  <c r="D27" i="40"/>
  <c r="F38" i="1"/>
  <c r="D21" i="52"/>
  <c r="B30" i="49"/>
  <c r="C14" i="32"/>
  <c r="D14" i="32"/>
  <c r="C21" i="40"/>
  <c r="D21" i="40"/>
  <c r="C15" i="40"/>
  <c r="D15" i="40"/>
  <c r="C12" i="40"/>
  <c r="F39" i="37"/>
  <c r="F38" i="37"/>
  <c r="C17" i="26"/>
  <c r="D11" i="13"/>
  <c r="D11" i="75"/>
  <c r="E39" i="37"/>
  <c r="C39" i="37"/>
  <c r="E38" i="24"/>
  <c r="C38" i="24"/>
  <c r="G37" i="27"/>
  <c r="G37" i="28"/>
  <c r="E37" i="28"/>
  <c r="C37" i="28"/>
  <c r="E29" i="25"/>
  <c r="C29" i="25"/>
  <c r="G37" i="26"/>
  <c r="E37" i="26"/>
  <c r="C37" i="26"/>
  <c r="D18" i="23"/>
  <c r="D10" i="11"/>
  <c r="D31" i="14"/>
  <c r="F39" i="1"/>
  <c r="C25" i="17"/>
  <c r="D40" i="22"/>
  <c r="D35" i="22"/>
  <c r="D32" i="22"/>
  <c r="D31" i="22"/>
  <c r="D26" i="22"/>
  <c r="D24" i="22"/>
  <c r="D19" i="22"/>
  <c r="D17" i="22"/>
  <c r="D14" i="22"/>
  <c r="D13" i="52"/>
  <c r="D16" i="52"/>
  <c r="E38" i="37"/>
  <c r="C38" i="37"/>
  <c r="G37" i="24"/>
  <c r="E37" i="24"/>
  <c r="C37" i="24"/>
  <c r="G36" i="27"/>
  <c r="G36" i="28"/>
  <c r="E36" i="28"/>
  <c r="C36" i="28"/>
  <c r="E36" i="26"/>
  <c r="G36" i="26"/>
  <c r="C36" i="26"/>
  <c r="E28" i="25"/>
  <c r="C28" i="25"/>
  <c r="D25" i="10"/>
  <c r="D38" i="1"/>
  <c r="C38" i="1"/>
  <c r="E39" i="1"/>
  <c r="D39" i="1"/>
  <c r="E38" i="1"/>
  <c r="C35" i="1"/>
  <c r="G35" i="24"/>
  <c r="F37" i="37"/>
  <c r="C27" i="21"/>
  <c r="E35" i="27"/>
  <c r="C27" i="25"/>
  <c r="E37" i="37"/>
  <c r="C37" i="37"/>
  <c r="E36" i="24"/>
  <c r="C36" i="24"/>
  <c r="G35" i="27"/>
  <c r="C35" i="28"/>
  <c r="G35" i="28"/>
  <c r="E35" i="28"/>
  <c r="E35" i="26"/>
  <c r="G35" i="26"/>
  <c r="C35" i="26"/>
  <c r="E27" i="25"/>
  <c r="B31" i="21"/>
  <c r="B27" i="17"/>
  <c r="D28" i="18"/>
  <c r="D14" i="7"/>
  <c r="C39" i="1"/>
  <c r="H25" i="46"/>
  <c r="H26" i="46" s="1"/>
  <c r="G25" i="46"/>
  <c r="F25" i="46"/>
  <c r="F26" i="46" s="1"/>
  <c r="E25" i="46"/>
  <c r="E26" i="46" s="1"/>
  <c r="D25" i="46"/>
  <c r="C25" i="46"/>
  <c r="C26" i="46" s="1"/>
  <c r="B25" i="46"/>
  <c r="H25" i="45"/>
  <c r="H26" i="45" s="1"/>
  <c r="G25" i="45"/>
  <c r="G26" i="45" s="1"/>
  <c r="F25" i="45"/>
  <c r="E25" i="45"/>
  <c r="E26" i="45" s="1"/>
  <c r="D25" i="45"/>
  <c r="D26" i="45" s="1"/>
  <c r="C25" i="45"/>
  <c r="B25" i="45"/>
  <c r="B26" i="45" s="1"/>
  <c r="D26" i="46"/>
  <c r="F36" i="37"/>
  <c r="E36" i="37"/>
  <c r="C36" i="37"/>
  <c r="E35" i="24"/>
  <c r="C35" i="24"/>
  <c r="G34" i="27"/>
  <c r="E34" i="27"/>
  <c r="G34" i="28"/>
  <c r="E34" i="28"/>
  <c r="C34" i="28"/>
  <c r="G34" i="26"/>
  <c r="E34" i="26"/>
  <c r="C34" i="26"/>
  <c r="E26" i="25"/>
  <c r="C26" i="25"/>
  <c r="D15" i="75"/>
  <c r="D16" i="75"/>
  <c r="D13" i="75"/>
  <c r="D21" i="30"/>
  <c r="D22" i="30"/>
  <c r="D23" i="30"/>
  <c r="D26" i="18"/>
  <c r="E25" i="25"/>
  <c r="C25" i="25"/>
  <c r="F35" i="37"/>
  <c r="G35" i="37" s="1"/>
  <c r="E35" i="37"/>
  <c r="C35" i="37"/>
  <c r="E34" i="24"/>
  <c r="C34" i="24"/>
  <c r="G33" i="27"/>
  <c r="E33" i="27"/>
  <c r="G33" i="28"/>
  <c r="E33" i="28"/>
  <c r="C33" i="28"/>
  <c r="G33" i="26"/>
  <c r="E33" i="26"/>
  <c r="C33" i="26"/>
  <c r="D10" i="13"/>
  <c r="D10" i="9"/>
  <c r="D31" i="11"/>
  <c r="D32" i="11"/>
  <c r="D15" i="11"/>
  <c r="D16" i="11"/>
  <c r="D10" i="7"/>
  <c r="D18" i="75"/>
  <c r="D10" i="75"/>
  <c r="D13" i="2"/>
  <c r="F34" i="37"/>
  <c r="D18" i="30"/>
  <c r="D19" i="30"/>
  <c r="D17" i="40"/>
  <c r="D27" i="52"/>
  <c r="D32" i="52"/>
  <c r="D31" i="52"/>
  <c r="D30" i="52"/>
  <c r="D29" i="52"/>
  <c r="D28" i="52"/>
  <c r="D26" i="52"/>
  <c r="D25" i="52"/>
  <c r="D24" i="52"/>
  <c r="D23" i="52"/>
  <c r="D22" i="52"/>
  <c r="D19" i="52"/>
  <c r="D18" i="52"/>
  <c r="D17" i="52"/>
  <c r="D15" i="30"/>
  <c r="D16" i="30"/>
  <c r="D17" i="30"/>
  <c r="D20" i="30"/>
  <c r="D45" i="30"/>
  <c r="D41" i="30"/>
  <c r="D42" i="30"/>
  <c r="D43" i="30"/>
  <c r="D11" i="30"/>
  <c r="D12" i="30"/>
  <c r="D10" i="30"/>
  <c r="D11" i="31"/>
  <c r="G32" i="24"/>
  <c r="D22" i="40"/>
  <c r="C34" i="37"/>
  <c r="E34" i="37"/>
  <c r="C33" i="24"/>
  <c r="E33" i="24"/>
  <c r="C32" i="28"/>
  <c r="E32" i="28"/>
  <c r="G32" i="28"/>
  <c r="C32" i="27"/>
  <c r="E32" i="27"/>
  <c r="G32" i="27"/>
  <c r="C32" i="26"/>
  <c r="E32" i="26"/>
  <c r="G32" i="26"/>
  <c r="C24" i="25"/>
  <c r="E24" i="25"/>
  <c r="D14" i="11"/>
  <c r="D10" i="31"/>
  <c r="D30" i="49"/>
  <c r="C30" i="49"/>
  <c r="F33" i="37"/>
  <c r="E23" i="25"/>
  <c r="C23" i="25"/>
  <c r="E33" i="37"/>
  <c r="C33" i="37"/>
  <c r="E32" i="24"/>
  <c r="C32" i="24"/>
  <c r="G31" i="27"/>
  <c r="E31" i="27"/>
  <c r="C31" i="27"/>
  <c r="G31" i="28"/>
  <c r="E31" i="28"/>
  <c r="C31" i="28"/>
  <c r="G31" i="26"/>
  <c r="E31" i="26"/>
  <c r="C31" i="26"/>
  <c r="D32" i="18"/>
  <c r="D31" i="18"/>
  <c r="D12" i="32"/>
  <c r="D20" i="23"/>
  <c r="D19" i="23"/>
  <c r="D17" i="23"/>
  <c r="D16" i="23"/>
  <c r="D15" i="23"/>
  <c r="D14" i="23"/>
  <c r="D15" i="21"/>
  <c r="D14" i="21"/>
  <c r="D13" i="21"/>
  <c r="D12" i="21"/>
  <c r="D12" i="17"/>
  <c r="D11" i="17"/>
  <c r="D36" i="18"/>
  <c r="D35" i="18"/>
  <c r="D30" i="18"/>
  <c r="D12" i="19"/>
  <c r="D10" i="19"/>
  <c r="D32" i="40"/>
  <c r="D31" i="40"/>
  <c r="D30" i="40"/>
  <c r="D29" i="40"/>
  <c r="D28" i="40"/>
  <c r="D26" i="40"/>
  <c r="D25" i="40"/>
  <c r="D24" i="40"/>
  <c r="D23" i="40"/>
  <c r="D19" i="40"/>
  <c r="D18" i="40"/>
  <c r="D16" i="40"/>
  <c r="D27" i="12"/>
  <c r="D24" i="12"/>
  <c r="D23" i="12"/>
  <c r="D22" i="12"/>
  <c r="D10" i="12"/>
  <c r="D14" i="13"/>
  <c r="D12" i="14"/>
  <c r="D10" i="14"/>
  <c r="D12" i="11"/>
  <c r="D10" i="10"/>
  <c r="D37" i="7"/>
  <c r="D19" i="7"/>
  <c r="D18" i="7"/>
  <c r="D38" i="32"/>
  <c r="D37" i="32"/>
  <c r="D36" i="32"/>
  <c r="D35" i="32"/>
  <c r="D34" i="32"/>
  <c r="D33" i="32"/>
  <c r="D32" i="32"/>
  <c r="D31" i="32"/>
  <c r="D30" i="32"/>
  <c r="D29" i="32"/>
  <c r="D10" i="32"/>
  <c r="D44" i="30"/>
  <c r="D40" i="30"/>
  <c r="D39" i="30"/>
  <c r="D38" i="30"/>
  <c r="D25" i="30"/>
  <c r="D13" i="30"/>
  <c r="D16" i="2"/>
  <c r="D14" i="2"/>
  <c r="E22" i="25"/>
  <c r="C22" i="25"/>
  <c r="B29" i="21"/>
  <c r="F32" i="37"/>
  <c r="E32" i="37"/>
  <c r="C32" i="37"/>
  <c r="G31" i="24"/>
  <c r="E31" i="24"/>
  <c r="C31" i="24"/>
  <c r="G30" i="27"/>
  <c r="E30" i="27"/>
  <c r="C30" i="27"/>
  <c r="G30" i="28"/>
  <c r="E30" i="28"/>
  <c r="C30" i="28"/>
  <c r="G30" i="26"/>
  <c r="E30" i="26"/>
  <c r="C30" i="26"/>
  <c r="H23" i="46"/>
  <c r="G23" i="46"/>
  <c r="F23" i="46"/>
  <c r="E23" i="46"/>
  <c r="D23" i="46"/>
  <c r="D29" i="46" s="1"/>
  <c r="D32" i="46" s="1"/>
  <c r="D11" i="46" s="1"/>
  <c r="D12" i="46" s="1"/>
  <c r="C23" i="46"/>
  <c r="B23" i="46"/>
  <c r="B26" i="46"/>
  <c r="H9" i="46"/>
  <c r="G9" i="46"/>
  <c r="F9" i="46"/>
  <c r="E9" i="46"/>
  <c r="D9" i="46"/>
  <c r="C9" i="46"/>
  <c r="B9" i="46"/>
  <c r="H23" i="45"/>
  <c r="G23" i="45"/>
  <c r="F23" i="45"/>
  <c r="F26" i="45"/>
  <c r="E23" i="45"/>
  <c r="D23" i="45"/>
  <c r="D29" i="45" s="1"/>
  <c r="D32" i="45" s="1"/>
  <c r="D11" i="45" s="1"/>
  <c r="D12" i="45" s="1"/>
  <c r="C23" i="45"/>
  <c r="C26" i="45"/>
  <c r="B23" i="45"/>
  <c r="B29" i="45" s="1"/>
  <c r="B32" i="45" s="1"/>
  <c r="B11" i="45" s="1"/>
  <c r="H9" i="45"/>
  <c r="G9" i="45"/>
  <c r="F9" i="45"/>
  <c r="E9" i="45"/>
  <c r="D9" i="45"/>
  <c r="C9" i="45"/>
  <c r="B9" i="45"/>
  <c r="E21" i="25"/>
  <c r="C21" i="25"/>
  <c r="G29" i="26"/>
  <c r="E29" i="26"/>
  <c r="C29" i="26"/>
  <c r="C29" i="28"/>
  <c r="E29" i="28"/>
  <c r="G29" i="28"/>
  <c r="G29" i="27"/>
  <c r="E29" i="27"/>
  <c r="C29" i="27"/>
  <c r="G30" i="24"/>
  <c r="E30" i="24"/>
  <c r="C30" i="24"/>
  <c r="F31" i="37"/>
  <c r="C31" i="37"/>
  <c r="E31" i="37"/>
  <c r="F30" i="37"/>
  <c r="G30" i="37" s="1"/>
  <c r="C30" i="37"/>
  <c r="E30" i="37"/>
  <c r="F29" i="37"/>
  <c r="C29" i="24"/>
  <c r="E29" i="24"/>
  <c r="G29" i="24"/>
  <c r="C28" i="27"/>
  <c r="E28" i="27"/>
  <c r="G28" i="27"/>
  <c r="C28" i="28"/>
  <c r="E28" i="28"/>
  <c r="G28" i="28"/>
  <c r="C28" i="26"/>
  <c r="E28" i="26"/>
  <c r="G28" i="26"/>
  <c r="C20" i="25"/>
  <c r="E20" i="25"/>
  <c r="C19" i="25"/>
  <c r="E19" i="25"/>
  <c r="C29" i="37"/>
  <c r="E29" i="37"/>
  <c r="F28" i="37"/>
  <c r="C28" i="24"/>
  <c r="E28" i="24"/>
  <c r="G28" i="24"/>
  <c r="C27" i="27"/>
  <c r="E27" i="27"/>
  <c r="G27" i="27"/>
  <c r="C27" i="28"/>
  <c r="E27" i="28"/>
  <c r="G27" i="28"/>
  <c r="C27" i="26"/>
  <c r="E27" i="26"/>
  <c r="G27" i="26"/>
  <c r="F27" i="37"/>
  <c r="E28" i="37"/>
  <c r="C28" i="37"/>
  <c r="G27" i="24"/>
  <c r="E27" i="24"/>
  <c r="C27" i="24"/>
  <c r="G26" i="27"/>
  <c r="E26" i="27"/>
  <c r="C26" i="27"/>
  <c r="G26" i="28"/>
  <c r="E26" i="28"/>
  <c r="C26" i="28"/>
  <c r="G26" i="26"/>
  <c r="E26" i="26"/>
  <c r="C26" i="26"/>
  <c r="E16" i="25"/>
  <c r="F26" i="37"/>
  <c r="E27" i="37"/>
  <c r="C27" i="37"/>
  <c r="G26" i="24"/>
  <c r="E26" i="24"/>
  <c r="C26" i="24"/>
  <c r="G25" i="27"/>
  <c r="E25" i="27"/>
  <c r="C25" i="27"/>
  <c r="G25" i="28"/>
  <c r="E25" i="28"/>
  <c r="C25" i="28"/>
  <c r="G25" i="26"/>
  <c r="E25" i="26"/>
  <c r="C25" i="26"/>
  <c r="E15" i="25"/>
  <c r="F25" i="37"/>
  <c r="G25" i="37" s="1"/>
  <c r="E26" i="37"/>
  <c r="C26" i="37"/>
  <c r="G25" i="24"/>
  <c r="E25" i="24"/>
  <c r="C25" i="24"/>
  <c r="G24" i="27"/>
  <c r="E24" i="27"/>
  <c r="C24" i="27"/>
  <c r="G24" i="28"/>
  <c r="E24" i="28"/>
  <c r="C24" i="28"/>
  <c r="G24" i="26"/>
  <c r="E24" i="26"/>
  <c r="C24" i="26"/>
  <c r="F24" i="37"/>
  <c r="E25" i="37"/>
  <c r="C25" i="37"/>
  <c r="G24" i="24"/>
  <c r="E24" i="24"/>
  <c r="C24" i="24"/>
  <c r="G23" i="27"/>
  <c r="E23" i="27"/>
  <c r="C23" i="27"/>
  <c r="G23" i="28"/>
  <c r="E23" i="28"/>
  <c r="C23" i="28"/>
  <c r="G23" i="26"/>
  <c r="E23" i="26"/>
  <c r="C23" i="26"/>
  <c r="F16" i="37"/>
  <c r="F17" i="37"/>
  <c r="F18" i="37"/>
  <c r="G18" i="37" s="1"/>
  <c r="F19" i="37"/>
  <c r="F20" i="37"/>
  <c r="F21" i="37"/>
  <c r="F22" i="37"/>
  <c r="G22" i="37" s="1"/>
  <c r="F23" i="37"/>
  <c r="F15" i="37"/>
  <c r="G16" i="37" s="1"/>
  <c r="F11" i="37"/>
  <c r="F12" i="37"/>
  <c r="F13" i="37"/>
  <c r="F14" i="37"/>
  <c r="E12" i="37"/>
  <c r="E13" i="37"/>
  <c r="E14" i="37"/>
  <c r="E15" i="37"/>
  <c r="E16" i="37"/>
  <c r="E17" i="37"/>
  <c r="E18" i="37"/>
  <c r="E19" i="37"/>
  <c r="E20" i="37"/>
  <c r="E21" i="37"/>
  <c r="E22" i="37"/>
  <c r="E23" i="37"/>
  <c r="E24" i="37"/>
  <c r="C12" i="37"/>
  <c r="C13" i="37"/>
  <c r="C14" i="37"/>
  <c r="C15" i="37"/>
  <c r="C16" i="37"/>
  <c r="C17" i="37"/>
  <c r="C18" i="37"/>
  <c r="C19" i="37"/>
  <c r="C20" i="37"/>
  <c r="C21" i="37"/>
  <c r="C22" i="37"/>
  <c r="C23" i="37"/>
  <c r="C24" i="37"/>
  <c r="G14" i="24"/>
  <c r="E14" i="24"/>
  <c r="C14" i="24"/>
  <c r="G23" i="24"/>
  <c r="G22" i="24"/>
  <c r="G21" i="24"/>
  <c r="G20" i="24"/>
  <c r="G19" i="24"/>
  <c r="G18" i="24"/>
  <c r="G17" i="24"/>
  <c r="G16" i="24"/>
  <c r="G15" i="24"/>
  <c r="G13" i="24"/>
  <c r="G12" i="24"/>
  <c r="G11" i="24"/>
  <c r="E23" i="24"/>
  <c r="E22" i="24"/>
  <c r="E21" i="24"/>
  <c r="E20" i="24"/>
  <c r="E19" i="24"/>
  <c r="E18" i="24"/>
  <c r="E17" i="24"/>
  <c r="E16" i="24"/>
  <c r="E13" i="24"/>
  <c r="E12" i="24"/>
  <c r="E11" i="24"/>
  <c r="C23" i="24"/>
  <c r="C22" i="24"/>
  <c r="C21" i="24"/>
  <c r="C20" i="24"/>
  <c r="C19" i="24"/>
  <c r="C18" i="24"/>
  <c r="C17" i="24"/>
  <c r="C16" i="24"/>
  <c r="C15" i="24"/>
  <c r="C13" i="24"/>
  <c r="C12" i="24"/>
  <c r="C11" i="24"/>
  <c r="G22" i="27"/>
  <c r="G21" i="27"/>
  <c r="G20" i="27"/>
  <c r="G19" i="27"/>
  <c r="G18" i="27"/>
  <c r="G17" i="27"/>
  <c r="G16" i="27"/>
  <c r="G15" i="27"/>
  <c r="G14" i="27"/>
  <c r="G13" i="27"/>
  <c r="G12" i="27"/>
  <c r="G11" i="27"/>
  <c r="G10" i="27"/>
  <c r="E22" i="27"/>
  <c r="E21" i="27"/>
  <c r="E20" i="27"/>
  <c r="E19" i="27"/>
  <c r="E18" i="27"/>
  <c r="E17" i="27"/>
  <c r="E16" i="27"/>
  <c r="E15" i="27"/>
  <c r="E14" i="27"/>
  <c r="C22" i="27"/>
  <c r="C21" i="27"/>
  <c r="C20" i="27"/>
  <c r="C19" i="27"/>
  <c r="C18" i="27"/>
  <c r="C17" i="27"/>
  <c r="C16" i="27"/>
  <c r="C15" i="27"/>
  <c r="C14" i="27"/>
  <c r="C12" i="27"/>
  <c r="C11" i="27"/>
  <c r="C10" i="27"/>
  <c r="G22" i="28"/>
  <c r="G21" i="28"/>
  <c r="G20" i="28"/>
  <c r="G19" i="28"/>
  <c r="G18" i="28"/>
  <c r="G17" i="28"/>
  <c r="G16" i="28"/>
  <c r="G15" i="28"/>
  <c r="G14" i="28"/>
  <c r="G13" i="28"/>
  <c r="G12" i="28"/>
  <c r="G11" i="28"/>
  <c r="G10" i="28"/>
  <c r="E22" i="28"/>
  <c r="E21" i="28"/>
  <c r="E20" i="28"/>
  <c r="E19" i="28"/>
  <c r="E18" i="28"/>
  <c r="E17" i="28"/>
  <c r="E16" i="28"/>
  <c r="E15" i="28"/>
  <c r="E14" i="28"/>
  <c r="E13" i="28"/>
  <c r="E12" i="28"/>
  <c r="E11" i="28"/>
  <c r="E10" i="28"/>
  <c r="C22" i="28"/>
  <c r="C21" i="28"/>
  <c r="C20" i="28"/>
  <c r="C19" i="28"/>
  <c r="C18" i="28"/>
  <c r="C17" i="28"/>
  <c r="C16" i="28"/>
  <c r="C15" i="28"/>
  <c r="C14" i="28"/>
  <c r="C13" i="28"/>
  <c r="C12" i="28"/>
  <c r="C11" i="28"/>
  <c r="C10" i="28"/>
  <c r="G22" i="26"/>
  <c r="G21" i="26"/>
  <c r="G20" i="26"/>
  <c r="G19" i="26"/>
  <c r="G18" i="26"/>
  <c r="G17" i="26"/>
  <c r="G16" i="26"/>
  <c r="G15" i="26"/>
  <c r="G14" i="26"/>
  <c r="G13" i="26"/>
  <c r="G12" i="26"/>
  <c r="G11" i="26"/>
  <c r="G10" i="26"/>
  <c r="E22" i="26"/>
  <c r="E21" i="26"/>
  <c r="E20" i="26"/>
  <c r="E19" i="26"/>
  <c r="E18" i="26"/>
  <c r="E17" i="26"/>
  <c r="E16" i="26"/>
  <c r="E15" i="26"/>
  <c r="E14" i="26"/>
  <c r="E13" i="26"/>
  <c r="E12" i="26"/>
  <c r="E11" i="26"/>
  <c r="E10" i="26"/>
  <c r="C10" i="26"/>
  <c r="C11" i="26"/>
  <c r="C12" i="26"/>
  <c r="C13" i="26"/>
  <c r="C14" i="26"/>
  <c r="C15" i="26"/>
  <c r="C16" i="26"/>
  <c r="C18" i="26"/>
  <c r="C19" i="26"/>
  <c r="C20" i="26"/>
  <c r="C21" i="26"/>
  <c r="C22" i="26"/>
  <c r="E13" i="25"/>
  <c r="E11" i="25"/>
  <c r="E18" i="25"/>
  <c r="G26" i="46"/>
  <c r="B27" i="21"/>
  <c r="E10" i="25"/>
  <c r="B32" i="21"/>
  <c r="C18" i="25"/>
  <c r="D35" i="7"/>
  <c r="D41" i="7"/>
  <c r="D40" i="7"/>
  <c r="D34" i="7"/>
  <c r="D33" i="18"/>
  <c r="D39" i="7"/>
  <c r="D42" i="7"/>
  <c r="D33" i="7"/>
  <c r="D38" i="7"/>
  <c r="D13" i="11"/>
  <c r="D30" i="11"/>
  <c r="B30" i="21"/>
  <c r="C34" i="1"/>
  <c r="C37" i="1"/>
  <c r="C11" i="25"/>
  <c r="C13" i="25"/>
  <c r="C17" i="25"/>
  <c r="C12" i="25"/>
  <c r="E12" i="25"/>
  <c r="C14" i="25"/>
  <c r="C10" i="25"/>
  <c r="E14" i="25"/>
  <c r="C15" i="25"/>
  <c r="E17" i="25"/>
  <c r="C16" i="25"/>
  <c r="D31" i="10"/>
  <c r="D27" i="18"/>
  <c r="C32" i="21"/>
  <c r="D10" i="21"/>
  <c r="C31" i="21"/>
  <c r="C30" i="21"/>
  <c r="C29" i="21"/>
  <c r="C27" i="17"/>
  <c r="D10" i="17"/>
  <c r="D29" i="14"/>
  <c r="D34" i="1"/>
  <c r="D35" i="1"/>
  <c r="C44" i="23"/>
  <c r="D22" i="22"/>
  <c r="C43" i="23"/>
  <c r="C40" i="23"/>
  <c r="C42" i="23"/>
  <c r="C39" i="23"/>
  <c r="C35" i="23"/>
  <c r="C38" i="23"/>
  <c r="C41" i="23"/>
  <c r="C36" i="23"/>
  <c r="C37" i="23"/>
  <c r="B35" i="23"/>
  <c r="D12" i="23"/>
  <c r="D13" i="23"/>
  <c r="B36" i="23"/>
  <c r="D13" i="22"/>
  <c r="B40" i="23"/>
  <c r="B42" i="23"/>
  <c r="B43" i="23"/>
  <c r="B37" i="23"/>
  <c r="B38" i="23"/>
  <c r="B44" i="23"/>
  <c r="D10" i="23"/>
  <c r="B41" i="23"/>
  <c r="B39" i="23"/>
  <c r="D36" i="7"/>
  <c r="D10" i="22"/>
  <c r="D12" i="22"/>
  <c r="D34" i="22"/>
  <c r="D12" i="18"/>
  <c r="D35" i="19"/>
  <c r="D29" i="19"/>
  <c r="C16" i="13"/>
  <c r="D35" i="14"/>
  <c r="D30" i="14"/>
  <c r="D34" i="14"/>
  <c r="D41" i="14"/>
  <c r="D37" i="14"/>
  <c r="D39" i="14"/>
  <c r="D33" i="14"/>
  <c r="D12" i="75"/>
  <c r="G29" i="37"/>
  <c r="D33" i="19"/>
  <c r="D30" i="19"/>
  <c r="D34" i="19"/>
  <c r="D32" i="19"/>
  <c r="D36" i="19"/>
  <c r="D31" i="19"/>
  <c r="C10" i="40"/>
  <c r="C28" i="12"/>
  <c r="D12" i="7"/>
  <c r="D44" i="75"/>
  <c r="D45" i="75"/>
  <c r="D46" i="75"/>
  <c r="D43" i="75"/>
  <c r="D40" i="75"/>
  <c r="D38" i="75"/>
  <c r="D41" i="75"/>
  <c r="D36" i="75"/>
  <c r="D42" i="75"/>
  <c r="D37" i="75"/>
  <c r="D28" i="12"/>
  <c r="C31" i="12"/>
  <c r="D31" i="12"/>
  <c r="G36" i="37" l="1"/>
  <c r="G26" i="37"/>
  <c r="G27" i="37"/>
  <c r="G28" i="37"/>
  <c r="G34" i="37"/>
  <c r="G12" i="37"/>
  <c r="G21" i="37"/>
  <c r="G14" i="37"/>
  <c r="G17" i="37"/>
  <c r="G31" i="37"/>
  <c r="F29" i="46"/>
  <c r="F32" i="46" s="1"/>
  <c r="F11" i="46" s="1"/>
  <c r="F12" i="46" s="1"/>
  <c r="C29" i="45"/>
  <c r="C32" i="45" s="1"/>
  <c r="C11" i="45" s="1"/>
  <c r="B12" i="45"/>
  <c r="B29" i="46"/>
  <c r="B32" i="46" s="1"/>
  <c r="B11" i="46" s="1"/>
  <c r="B12" i="46" s="1"/>
  <c r="F39" i="94"/>
  <c r="F37" i="94"/>
  <c r="F38" i="94" s="1"/>
  <c r="H39" i="94"/>
  <c r="H37" i="94"/>
  <c r="H38" i="94" s="1"/>
  <c r="H41" i="94" s="1"/>
  <c r="H42" i="94" s="1"/>
  <c r="C39" i="93"/>
  <c r="C37" i="93"/>
  <c r="G37" i="93"/>
  <c r="G38" i="93" s="1"/>
  <c r="G39" i="93"/>
  <c r="G29" i="46"/>
  <c r="G32" i="46" s="1"/>
  <c r="G11" i="46" s="1"/>
  <c r="G12" i="46" s="1"/>
  <c r="G13" i="37"/>
  <c r="E29" i="45"/>
  <c r="E32" i="45" s="1"/>
  <c r="E11" i="45" s="1"/>
  <c r="E12" i="45" s="1"/>
  <c r="G32" i="37"/>
  <c r="B37" i="94"/>
  <c r="C12" i="45"/>
  <c r="E29" i="46"/>
  <c r="E32" i="46" s="1"/>
  <c r="E11" i="46" s="1"/>
  <c r="E12" i="46" s="1"/>
  <c r="H29" i="46"/>
  <c r="H32" i="46" s="1"/>
  <c r="H11" i="46" s="1"/>
  <c r="H12" i="46" s="1"/>
  <c r="G29" i="45"/>
  <c r="G32" i="45" s="1"/>
  <c r="G11" i="45" s="1"/>
  <c r="G12" i="45" s="1"/>
  <c r="C29" i="46"/>
  <c r="C32" i="46" s="1"/>
  <c r="C11" i="46" s="1"/>
  <c r="C12" i="46" s="1"/>
  <c r="H29" i="45"/>
  <c r="H32" i="45" s="1"/>
  <c r="H11" i="45" s="1"/>
  <c r="H12" i="45" s="1"/>
  <c r="H37" i="93"/>
  <c r="G41" i="37"/>
  <c r="G23" i="37"/>
  <c r="G38" i="37"/>
  <c r="G39" i="37"/>
  <c r="G15" i="37"/>
  <c r="G40" i="37"/>
  <c r="G37" i="37"/>
  <c r="G24" i="37"/>
  <c r="G33" i="37"/>
  <c r="G43" i="37"/>
  <c r="B33" i="23"/>
  <c r="D10" i="18"/>
  <c r="D11" i="18"/>
  <c r="D26" i="19"/>
  <c r="D10" i="40"/>
  <c r="D26" i="14"/>
  <c r="D34" i="75"/>
  <c r="B34" i="75"/>
  <c r="D14" i="75"/>
  <c r="D22" i="75"/>
  <c r="D20" i="2"/>
  <c r="D37" i="94"/>
  <c r="D38" i="94" s="1"/>
  <c r="D41" i="94" s="1"/>
  <c r="D42" i="94" s="1"/>
  <c r="D43" i="94" s="1"/>
  <c r="D11" i="94" s="1"/>
  <c r="D12" i="94" s="1"/>
  <c r="D38" i="92"/>
  <c r="D37" i="93"/>
  <c r="C18" i="2"/>
  <c r="D18" i="2" s="1"/>
  <c r="D12" i="2"/>
  <c r="C32" i="2"/>
  <c r="G19" i="37"/>
  <c r="G20" i="37"/>
  <c r="F29" i="45"/>
  <c r="F32" i="45" s="1"/>
  <c r="F11" i="45" s="1"/>
  <c r="F12" i="45" s="1"/>
  <c r="D12" i="36"/>
  <c r="D24" i="18"/>
  <c r="C39" i="94"/>
  <c r="C37" i="94"/>
  <c r="G39" i="94"/>
  <c r="G38" i="94"/>
  <c r="E39" i="94"/>
  <c r="E37" i="94"/>
  <c r="E38" i="94" s="1"/>
  <c r="E39" i="91"/>
  <c r="B37" i="92"/>
  <c r="B38" i="92" s="1"/>
  <c r="B39" i="92"/>
  <c r="E39" i="92"/>
  <c r="B16" i="13"/>
  <c r="D16" i="13" s="1"/>
  <c r="D12" i="13"/>
  <c r="B37" i="91"/>
  <c r="B38" i="91" s="1"/>
  <c r="G39" i="92"/>
  <c r="G37" i="92"/>
  <c r="G38" i="92" s="1"/>
  <c r="G41" i="92" s="1"/>
  <c r="F37" i="93"/>
  <c r="F38" i="93" s="1"/>
  <c r="F39" i="93"/>
  <c r="G37" i="91"/>
  <c r="G38" i="91"/>
  <c r="G39" i="91"/>
  <c r="H37" i="92"/>
  <c r="H38" i="92" s="1"/>
  <c r="H41" i="92" s="1"/>
  <c r="C39" i="92"/>
  <c r="C38" i="92"/>
  <c r="E37" i="91"/>
  <c r="E38" i="91" s="1"/>
  <c r="E37" i="92"/>
  <c r="E38" i="92" s="1"/>
  <c r="H39" i="91"/>
  <c r="H37" i="91"/>
  <c r="H38" i="91" s="1"/>
  <c r="C33" i="23"/>
  <c r="D21" i="75"/>
  <c r="D33" i="10"/>
  <c r="D32" i="10"/>
  <c r="D34" i="10"/>
  <c r="D28" i="10"/>
  <c r="D24" i="10"/>
  <c r="D30" i="10"/>
  <c r="D27" i="10"/>
  <c r="D26" i="10"/>
  <c r="D29" i="10"/>
  <c r="B10" i="52"/>
  <c r="D10" i="52" s="1"/>
  <c r="D15" i="52"/>
  <c r="C20" i="75"/>
  <c r="B39" i="93"/>
  <c r="B37" i="93"/>
  <c r="E39" i="93"/>
  <c r="E37" i="93"/>
  <c r="E38" i="93" s="1"/>
  <c r="E41" i="93" s="1"/>
  <c r="F37" i="91"/>
  <c r="F38" i="91" s="1"/>
  <c r="F41" i="91" s="1"/>
  <c r="C37" i="91"/>
  <c r="C38" i="91" s="1"/>
  <c r="C39" i="91"/>
  <c r="B39" i="91"/>
  <c r="D39" i="92"/>
  <c r="B20" i="75"/>
  <c r="D37" i="91"/>
  <c r="D38" i="91" s="1"/>
  <c r="D41" i="91" s="1"/>
  <c r="D16" i="36"/>
  <c r="F38" i="92"/>
  <c r="F39" i="92"/>
  <c r="H38" i="93"/>
  <c r="H41" i="93" s="1"/>
  <c r="D26" i="30"/>
  <c r="D24" i="30"/>
  <c r="F41" i="94" l="1"/>
  <c r="F42" i="94" s="1"/>
  <c r="F43" i="94" s="1"/>
  <c r="F11" i="94" s="1"/>
  <c r="F12" i="94" s="1"/>
  <c r="E41" i="94"/>
  <c r="G41" i="91"/>
  <c r="D41" i="92"/>
  <c r="D42" i="92" s="1"/>
  <c r="D43" i="92" s="1"/>
  <c r="D11" i="92" s="1"/>
  <c r="D12" i="92" s="1"/>
  <c r="E41" i="92"/>
  <c r="E42" i="92" s="1"/>
  <c r="E43" i="92" s="1"/>
  <c r="E11" i="92" s="1"/>
  <c r="E12" i="92" s="1"/>
  <c r="H43" i="94"/>
  <c r="H11" i="94" s="1"/>
  <c r="H12" i="94" s="1"/>
  <c r="B41" i="92"/>
  <c r="B42" i="92" s="1"/>
  <c r="B43" i="92" s="1"/>
  <c r="B11" i="92" s="1"/>
  <c r="B12" i="92" s="1"/>
  <c r="E41" i="91"/>
  <c r="E42" i="91" s="1"/>
  <c r="E43" i="91" s="1"/>
  <c r="C41" i="91"/>
  <c r="C42" i="91" s="1"/>
  <c r="C43" i="91" s="1"/>
  <c r="G41" i="93"/>
  <c r="G42" i="93" s="1"/>
  <c r="G43" i="93" s="1"/>
  <c r="G11" i="93" s="1"/>
  <c r="G12" i="93" s="1"/>
  <c r="B41" i="91"/>
  <c r="B42" i="91" s="1"/>
  <c r="G41" i="94"/>
  <c r="H42" i="92"/>
  <c r="H43" i="92" s="1"/>
  <c r="H11" i="92" s="1"/>
  <c r="H12" i="92" s="1"/>
  <c r="D42" i="91"/>
  <c r="D43" i="91" s="1"/>
  <c r="G42" i="92"/>
  <c r="G43" i="92" s="1"/>
  <c r="G11" i="92" s="1"/>
  <c r="G12" i="92" s="1"/>
  <c r="E42" i="93"/>
  <c r="E43" i="93" s="1"/>
  <c r="E11" i="93" s="1"/>
  <c r="E12" i="93" s="1"/>
  <c r="G42" i="91"/>
  <c r="G43" i="91" s="1"/>
  <c r="E42" i="94"/>
  <c r="E43" i="94" s="1"/>
  <c r="E11" i="94" s="1"/>
  <c r="E12" i="94" s="1"/>
  <c r="D42" i="2"/>
  <c r="D40" i="2"/>
  <c r="D35" i="2"/>
  <c r="D38" i="2"/>
  <c r="D39" i="2"/>
  <c r="D41" i="2"/>
  <c r="D34" i="2"/>
  <c r="D43" i="2"/>
  <c r="D36" i="2"/>
  <c r="D37" i="2"/>
  <c r="D44" i="2"/>
  <c r="H41" i="91"/>
  <c r="F41" i="92"/>
  <c r="H42" i="93"/>
  <c r="H43" i="93"/>
  <c r="H11" i="93" s="1"/>
  <c r="H12" i="93" s="1"/>
  <c r="D22" i="10"/>
  <c r="F42" i="91"/>
  <c r="F43" i="91" s="1"/>
  <c r="D20" i="75"/>
  <c r="C41" i="92"/>
  <c r="F41" i="93"/>
  <c r="B43" i="91" l="1"/>
  <c r="G42" i="94"/>
  <c r="G43" i="94" s="1"/>
  <c r="G11" i="94" s="1"/>
  <c r="G12" i="94" s="1"/>
  <c r="H42" i="91"/>
  <c r="H43" i="91"/>
  <c r="D32" i="2"/>
  <c r="C42" i="92"/>
  <c r="C43" i="92" s="1"/>
  <c r="C11" i="92" s="1"/>
  <c r="C12" i="92" s="1"/>
  <c r="F42" i="93"/>
  <c r="F43" i="93" s="1"/>
  <c r="F11" i="93" s="1"/>
  <c r="F12" i="93" s="1"/>
  <c r="F42" i="92"/>
  <c r="F43" i="92" s="1"/>
  <c r="F11" i="92" s="1"/>
  <c r="F12" i="92" s="1"/>
</calcChain>
</file>

<file path=xl/sharedStrings.xml><?xml version="1.0" encoding="utf-8"?>
<sst xmlns="http://schemas.openxmlformats.org/spreadsheetml/2006/main" count="1211" uniqueCount="572">
  <si>
    <t xml:space="preserve">Gemeinden </t>
  </si>
  <si>
    <t>Couponsteuer</t>
  </si>
  <si>
    <t>Grundstücksgewinnsteuer</t>
  </si>
  <si>
    <t>Schenkungssteuer</t>
  </si>
  <si>
    <t>Stempelabgaben</t>
  </si>
  <si>
    <t>Emissionsabgabe</t>
  </si>
  <si>
    <t>Prämienquittungen</t>
  </si>
  <si>
    <t>abzügl. Beitrag für die Durchführung</t>
  </si>
  <si>
    <t>- aus Obligationen</t>
  </si>
  <si>
    <t>- aus Aktien und GmbH-Anteilen</t>
  </si>
  <si>
    <t>- aus Genossenschaftsanteilen</t>
  </si>
  <si>
    <t>- aus inländischen Wertpapieren</t>
  </si>
  <si>
    <t>- aus ausländischen Wertpapieren</t>
  </si>
  <si>
    <t>Anzahl Steuerpflichtige</t>
  </si>
  <si>
    <t>Motorfahrzeugsteuer</t>
  </si>
  <si>
    <t>Gesamt pro Motorfahrzeug</t>
  </si>
  <si>
    <t>Personen- und Lieferwagen, Kleinbusse</t>
  </si>
  <si>
    <t>Lastwagen, schwere Sattelschlepper</t>
  </si>
  <si>
    <t>Gesellschaftswagen</t>
  </si>
  <si>
    <t>Anhänger</t>
  </si>
  <si>
    <t>Motorräder, Kleinmotorräder</t>
  </si>
  <si>
    <t>Landwirtschaftliche Fahrzeuge</t>
  </si>
  <si>
    <t>Arbeitsfahrzeuge</t>
  </si>
  <si>
    <t>Kollektivschilder</t>
  </si>
  <si>
    <t>Motorfahrräder</t>
  </si>
  <si>
    <t>Anzahl Motorfahrzeuge</t>
  </si>
  <si>
    <t>Regalien und Konzessionen der Gemeinden</t>
  </si>
  <si>
    <t>Direkte Steuern</t>
  </si>
  <si>
    <t>Indirekte Steuern</t>
  </si>
  <si>
    <t>D.2 Produktions- und Importabgaben</t>
  </si>
  <si>
    <t>D.5 Einkommen- und Vermögensteuern</t>
  </si>
  <si>
    <t>1120 Steuern auf Kapitalgewinnen</t>
  </si>
  <si>
    <t>Ertragssteuer</t>
  </si>
  <si>
    <t>1220 Steuern auf Kapitalgewinnen</t>
  </si>
  <si>
    <t>1300 Nicht aufteilbar auf 1100 und 1200</t>
  </si>
  <si>
    <t>4000 Vermögensteuern</t>
  </si>
  <si>
    <t>4100 Laufende Steuern auf Immobilien</t>
  </si>
  <si>
    <t>4210 Natürliche Personen</t>
  </si>
  <si>
    <t>4220 Juristische Personen</t>
  </si>
  <si>
    <t>4300 Erbschaft- und Schenkungsteuern</t>
  </si>
  <si>
    <t>4600 Andere laufende Vermögensteuern</t>
  </si>
  <si>
    <t>5000 Steuern auf Waren und Dienstleistungen</t>
  </si>
  <si>
    <t>5110 Allgemeine Steuern</t>
  </si>
  <si>
    <t>5130 Nicht aufteilbar auf 5110 und 5120</t>
  </si>
  <si>
    <t>5210 Laufende Steuern</t>
  </si>
  <si>
    <t>5220 Nichtlaufende Steuern</t>
  </si>
  <si>
    <t>5300 Nicht aufteilbar auf 5100 und 5200</t>
  </si>
  <si>
    <t>6000 Andere Steuern</t>
  </si>
  <si>
    <t>6100 Von Unternehmen entrichtet</t>
  </si>
  <si>
    <t>6200 Von anderen entrichtet</t>
  </si>
  <si>
    <t>1100 Natürliche Personen</t>
  </si>
  <si>
    <t>1200 Juristische Personen</t>
  </si>
  <si>
    <t>4200 Laufende Steuern auf Reinvermögen</t>
  </si>
  <si>
    <t>Fiskaleinnahmen</t>
  </si>
  <si>
    <t>Steuereinnahmen</t>
  </si>
  <si>
    <t xml:space="preserve"> </t>
  </si>
  <si>
    <t>Steuern zu Gesamteinnahmen Land</t>
  </si>
  <si>
    <t>Besondere Gesellschaftssteuern</t>
  </si>
  <si>
    <t>Freibetrag</t>
  </si>
  <si>
    <t>Gesamt pro Steuerpflichtiger</t>
  </si>
  <si>
    <t>Nachlass- und Erbanfallsteuer</t>
  </si>
  <si>
    <t>Anzahl Veranlagungen ohne Steuerbetrag</t>
  </si>
  <si>
    <t>Anzahl Veranlagungen mit Steuerbetrag</t>
  </si>
  <si>
    <t>Emissionsvolumen</t>
  </si>
  <si>
    <t>- Obligationen</t>
  </si>
  <si>
    <t>- Genossenschaftsanteile</t>
  </si>
  <si>
    <t>- Aktien und GmbH-Anteile</t>
  </si>
  <si>
    <t>Effektenumsätze</t>
  </si>
  <si>
    <t>- inländische Wertpapiere</t>
  </si>
  <si>
    <t>- ausländische Wertpapiere</t>
  </si>
  <si>
    <t>Versicherungsprämien</t>
  </si>
  <si>
    <t>Steuerverwaltung, Stabsstelle Finanzen</t>
  </si>
  <si>
    <t>Verzugszinsen und Bussen</t>
  </si>
  <si>
    <t>Sonstige Steuern der Gemeinden</t>
  </si>
  <si>
    <t>0 CHF</t>
  </si>
  <si>
    <t>Total</t>
  </si>
  <si>
    <t>Veranlagungen</t>
  </si>
  <si>
    <t>Steuerpfl. Ertrag</t>
  </si>
  <si>
    <t>2 Betriebsvermögen Selbständiger</t>
  </si>
  <si>
    <t>Durchschnitt</t>
  </si>
  <si>
    <t>D.91 Vermögenswirksame Steuern</t>
  </si>
  <si>
    <t>20 Abzüge und steuerfreie Beträge</t>
  </si>
  <si>
    <t>Gründungsabgabe</t>
  </si>
  <si>
    <t>Sonstige Steuern der Gemeinden: Hundesteuer.</t>
  </si>
  <si>
    <t>Gemeinden, Steuerverwaltung</t>
  </si>
  <si>
    <t>*</t>
  </si>
  <si>
    <t>Steuerobjekt: Bruttoerwerb gemäss Lohnausweis.</t>
  </si>
  <si>
    <t>Verbleibender Poolertrag</t>
  </si>
  <si>
    <t>Gemeinsamer Poolertrag CH und FL</t>
  </si>
  <si>
    <t>.</t>
  </si>
  <si>
    <t>Gesamter Grundstücksgewinn</t>
  </si>
  <si>
    <t>Sektor 1</t>
  </si>
  <si>
    <t>Sektor 2</t>
  </si>
  <si>
    <t>Sektor 3</t>
  </si>
  <si>
    <t>Direkte Zuweisung an CH</t>
  </si>
  <si>
    <t>Direkte Zuweisung an FL</t>
  </si>
  <si>
    <t>Anteil FL am verbleibenden Poolertrag in CHF</t>
  </si>
  <si>
    <t>Anteil FL am verbleibenden Poolertrag in %</t>
  </si>
  <si>
    <t>Gesamtergebnis FL</t>
  </si>
  <si>
    <t>Verbrauchsabgaben und Zölle</t>
  </si>
  <si>
    <t>R-S Sonstige Dienstleistungen</t>
  </si>
  <si>
    <t>Gesamte Einnahmen</t>
  </si>
  <si>
    <t>Anteile</t>
  </si>
  <si>
    <t>Gesamte Ein- und Auszahlungen</t>
  </si>
  <si>
    <t>Gesamte Einnahmen Land und Gemeinden</t>
  </si>
  <si>
    <t>4500 Andere nichtlfd. Vermögensteuern</t>
  </si>
  <si>
    <t>CO2-Abgabe (Steueranteil)</t>
  </si>
  <si>
    <t>Steuerbelastung in CHF</t>
  </si>
  <si>
    <t>Steuerbelastung in %</t>
  </si>
  <si>
    <t>Abzüge:</t>
  </si>
  <si>
    <t>Krankheitskosten Pauschale</t>
  </si>
  <si>
    <t>Anzahl Motorfahrzeuge: Bestand der Motorfahrzeuge, inkl. Anhänger, per 30. Juni des Rechnungsjahres.</t>
  </si>
  <si>
    <t>Gewinnungskosten Pauschale</t>
  </si>
  <si>
    <t>Spenden Pauschale</t>
  </si>
  <si>
    <t>Gesamte Steuerbelastung</t>
  </si>
  <si>
    <t>Total der Abzüge</t>
  </si>
  <si>
    <t>Bruttoerwerb</t>
  </si>
  <si>
    <t>Landessteuer</t>
  </si>
  <si>
    <t>Pensionskassenbeiträge (6.0%)</t>
  </si>
  <si>
    <t>Grössenklassen Ertragssteuern</t>
  </si>
  <si>
    <t>Rendite</t>
  </si>
  <si>
    <t>Gemeindesteuerzuschlag (160%)</t>
  </si>
  <si>
    <t>Steuerbarer Grundstücksgewinn</t>
  </si>
  <si>
    <t>Liechtensteinische Steuerverwaltung, Eidgenössische Steuerverwaltung (ESTV)</t>
  </si>
  <si>
    <t>A Land- und Forstwirtschaft</t>
  </si>
  <si>
    <t>B Gewinnung von Steinen u. Erden</t>
  </si>
  <si>
    <t>D-E Energie- u. Wasserversorgung</t>
  </si>
  <si>
    <t>F Baugewerbe</t>
  </si>
  <si>
    <t>G Handel, Reparatur</t>
  </si>
  <si>
    <t>H Verkehr und Lagerei</t>
  </si>
  <si>
    <t>I Gastgewerbe</t>
  </si>
  <si>
    <t>J Information und Kommunikation</t>
  </si>
  <si>
    <t>K Finanzdienstleistungen</t>
  </si>
  <si>
    <t>MAA Rechts- u. Steuerberat., Wirtschaftspr.</t>
  </si>
  <si>
    <t>O-P Öffentliche Verwaltung, Unterricht</t>
  </si>
  <si>
    <t>Q Gesundheits- u. Sozialwesen</t>
  </si>
  <si>
    <t>L Grundstücks- und Wohnungswesen</t>
  </si>
  <si>
    <t>M-N (ohne MAA) Wirtschaftliche Dienstleist.</t>
  </si>
  <si>
    <t>Gesamte Steuereinnahmen</t>
  </si>
  <si>
    <t>Gesamte Fiskaleinnahmen</t>
  </si>
  <si>
    <t>Steuerquote</t>
  </si>
  <si>
    <t>Fiskalquote</t>
  </si>
  <si>
    <t>Bruttoinlandsprodukt (BIP)</t>
  </si>
  <si>
    <t>Quelle:</t>
  </si>
  <si>
    <t>Anzahl Veranlagungen</t>
  </si>
  <si>
    <t>Obligator. Sozialversicherungsbeiträge</t>
  </si>
  <si>
    <t>Land</t>
  </si>
  <si>
    <t>Gemeinden</t>
  </si>
  <si>
    <t>Gesamt</t>
  </si>
  <si>
    <t>Land pro Veranlagung</t>
  </si>
  <si>
    <t>Gemeinden pro Veranlagung</t>
  </si>
  <si>
    <t>Gesamt pro Veranlagung</t>
  </si>
  <si>
    <t>Änderung in %</t>
  </si>
  <si>
    <t>Steuerverwaltung</t>
  </si>
  <si>
    <t>Balzers</t>
  </si>
  <si>
    <t>Triesen</t>
  </si>
  <si>
    <t>Triesenberg</t>
  </si>
  <si>
    <t>Vaduz</t>
  </si>
  <si>
    <t>Schaan</t>
  </si>
  <si>
    <t>Planken</t>
  </si>
  <si>
    <t>Eschen</t>
  </si>
  <si>
    <t>Mauren</t>
  </si>
  <si>
    <t>Gamprin</t>
  </si>
  <si>
    <t>Schellenberg</t>
  </si>
  <si>
    <t>Ruggell</t>
  </si>
  <si>
    <t>Anteil in %</t>
  </si>
  <si>
    <t>1 Grundeigentum</t>
  </si>
  <si>
    <t>3 Bewegliches Privatvermögen</t>
  </si>
  <si>
    <t>4 Total der Vermögenswerte</t>
  </si>
  <si>
    <t>5 Schulden</t>
  </si>
  <si>
    <t>11 Erwerb aus unselbständiger Tätigkeit</t>
  </si>
  <si>
    <t>12 Erwerb aus selbständiger Tätigkeit</t>
  </si>
  <si>
    <t>13 Erwerb aus Versicherungsleistungen</t>
  </si>
  <si>
    <t>15 Total steuerpflichtiger Erwerb</t>
  </si>
  <si>
    <t>21 Gesamterwerb</t>
  </si>
  <si>
    <t>Bruttoerwerb in CHF</t>
  </si>
  <si>
    <t>Steuersatz in %</t>
  </si>
  <si>
    <t>Steuerbetrag</t>
  </si>
  <si>
    <t>Kinderabzug</t>
  </si>
  <si>
    <t>Reinertrag vor EK-Zinsabzug</t>
  </si>
  <si>
    <t>Modifiziertes Eigenkapital</t>
  </si>
  <si>
    <t>EK-Zinsabzug von 4%</t>
  </si>
  <si>
    <t>Steuerpflichtiger Reinertrag</t>
  </si>
  <si>
    <t>Ertragssteuersatz in %</t>
  </si>
  <si>
    <t>6 Gesamtvermögen</t>
  </si>
  <si>
    <t>Steuerpflichtiger Reinertrag (Pos. 470 (+))</t>
  </si>
  <si>
    <t>Zupendler aus Österreich</t>
  </si>
  <si>
    <t>Zupendler aus dem übrigen Ausland</t>
  </si>
  <si>
    <t>Lohnsumme der Zupendler übriges Ausland</t>
  </si>
  <si>
    <t xml:space="preserve">Unfallverhütungsbeiträge </t>
  </si>
  <si>
    <t>Beitrag Schweiz. Sachversicherungsverband</t>
  </si>
  <si>
    <t>Sitzungsgelder</t>
  </si>
  <si>
    <t>Gesamteinnahmen des Landes: Ertrag der Erfolgsrechnung und Einnahmen der Investitionsrechnung, abzüglich Entnahmen aus Spezialfinanzierungen und Zuweisungen an Gemeinden.</t>
  </si>
  <si>
    <t>Gesamteinnahmen der Gemeinden: Ertrag der Laufenden Rechnung und Einnahmen der Investitionsrechnung, abzüglich interne Verrechnungen.</t>
  </si>
  <si>
    <t>Gesamte Einnahmen T 2.9.1: Stempelabgaben gemäss Landesrechnung, abzüglich Beitrag für die Durchführung der Stempelgesetzgebung an die ESTV.</t>
  </si>
  <si>
    <t>Gesamte Einnahmen T 2.9.2: Die Angaben in dieser Tabelle sind der Aufstellung der Eidgenössischen Steuerverwaltung entnommen. Die Gesamtsumme weicht aufgrund unterschiedlicher Abgrenzung des Rechnungsjahres von der Gesamtsumme in Tabelle 2.9.1 ab, die mit der Landesrechnung abgestimmt ist.</t>
  </si>
  <si>
    <t>Emissionsvolumen: Das Emissionsvolumen ist errechnet aus den Einnahmen der Emissionsabgabe und dem Abgabesatz. Der Abgabesatz beläuft sich bei Beteiligungsrechten auf 1 Prozent des Betrages, der der Gesellschaft zufliesst.</t>
  </si>
  <si>
    <t>Effektenumsätze: Die Effektenumsätze errechnen sich aus den Einnahmen der Effektenumsatzabgabe und dem Abgabesatz. Der Abgabesatz beläuft sich bei inländischen Wertpapieren auf 1.5 Promille des Entgelts, bei ausländischen Wertpapieren auf 3 Promille des Entgelts.</t>
  </si>
  <si>
    <t>Rechnungsjahr: Das Rechnungsjahr umfasst bei der Mehrwertsteuer das 4. Quartal des Vorjahres sowie die ersten drei Quartale des laufenden Jahres.</t>
  </si>
  <si>
    <t>Negative Werte: Die Auszahlungen der Steuerverwaltung an die Steuerpflichtigen überwiegen die Einzahlungen der Steuerpflichtigen.</t>
  </si>
  <si>
    <t>Positive Werte: Die Einzahlungen der Steuerpflichtigen überwiegen die Auszahlungen der Steuerverwaltung.</t>
  </si>
  <si>
    <t>Verbrauchsabgaben und Zölle: Einfuhrzölle, Tabaksteuer, Biersteuer, Automobilsteuer, Mineralölsteuern, Lenkungsabgaben. Kostenrückerstattungen und Gebühren sind ebenfalls enthalten.</t>
  </si>
  <si>
    <t>1300 Steuern auf Einkommen, Unternehmensgewinnen und Kapitalgewinnen, die nicht aufteilbar sind zwischen natürlichen und juristischen Personen: Grundstücksgewinnsteuer</t>
  </si>
  <si>
    <t>4220 Laufende Steuern auf das Reinvermögen der juristischen Personen: Besondere Gesellschaftssteuern</t>
  </si>
  <si>
    <t>4320 Schenkungssteuern: Schenkungssteuer</t>
  </si>
  <si>
    <t>4400 Steuern auf finanzielle Transaktionen und Vermögenstransaktionen: Emissionsabgabe, Umsatzabgabe, Gründungsabgabe</t>
  </si>
  <si>
    <t>5110 Steuern auf Produktion, Verkauf und Lieferung von Waren und Dienstleistungen - Allgem. Steuern: Mehrwertsteuer</t>
  </si>
  <si>
    <t>5210 Steuern auf der Nutzung von Waren oder auf Nutzungsänderungen - Laufende Steuern: Motorfahrzeugsteuer, Beitrag Sachversicherer, Regalien und Konzessionen der Gemeinden</t>
  </si>
  <si>
    <t>D.211 Mehrwertsteuer: Mehrwertsteuer</t>
  </si>
  <si>
    <t>D.212 Importabgaben: Zollerträge</t>
  </si>
  <si>
    <t>D.29 Sonstige Produktionsabgaben: Regalien und Konzessionen der Gemeinden, Beitrag Sachversicherer</t>
  </si>
  <si>
    <t>Abzüge: Im Berechnungsbeispiel werden alle Abzüge berücksichtigt, die ohne Nachweis vorgenommen werden können. Der Beitragssatz für die Pensionsversicherung ist je nach Kasse unterschiedlich.</t>
  </si>
  <si>
    <t>Gemeindesteuerzuschlag: Die Gemeindesteuerzuschläge variieren zwischen 150% und 200% der Landessteuer. Für die Berechnung wird der Mittelwert von 160% verwendet.</t>
  </si>
  <si>
    <t>Steuerobjekt: Der steuerpflichtige Reinertrag, welcher der Gesamtheit der Erträge nach Abzug der geschäftsmässig begründeten Aufwendungen entspricht.</t>
  </si>
  <si>
    <t>EK-Zinsabzug: Zu den geschäftsmässig begründeten Aufwendungen zählt auch eine rechnerische Verzinsung des modifizierten Eigenkapitals mit einem Zinssatz von 4% (Eigenkapital-Zinsabzug).</t>
  </si>
  <si>
    <t>Rechnungsjahr</t>
  </si>
  <si>
    <t>Vermögens- und Erwerbssteuer</t>
  </si>
  <si>
    <t>WuSt/ Mehrwertsteuer</t>
  </si>
  <si>
    <t>Steuer ausl. Versicherer</t>
  </si>
  <si>
    <t>WuSt/ Mehrwertsteuer: Die Mehrwertsteuer löste die Warenumsatzsteuer (WuSt) per 1. Januar 1995 ab. Die Ergebnisse der Jahre bis 1994 sind nicht direkt vergleichbar mit jenen ab 1995.</t>
  </si>
  <si>
    <t>Aufwandbest./ Rentnersteuer</t>
  </si>
  <si>
    <t>Total der 14 Steuerarten</t>
  </si>
  <si>
    <t>1000 Steuern auf Einkommen, Unternehmensgewinnen und Kapitalgewinnen</t>
  </si>
  <si>
    <t>1110 Steuern auf Einkommen und Unternehmensgewinnen</t>
  </si>
  <si>
    <t>1210 Steuern auf Einkommen und Unternehmensgewinnen</t>
  </si>
  <si>
    <t>4400 Steuern auf finanzielle Transaktionen  und Vermögenstransaktionen</t>
  </si>
  <si>
    <t>5100  Steuern auf Produktion, Verkauf und Lieferung von Waren und Dienstleistungen</t>
  </si>
  <si>
    <t>5120 Steuern auf bestimmten Waren und Dienstleistungen</t>
  </si>
  <si>
    <t>5200 Steuern auf der Nutzung von Waren oder auf Nutzungsgenehmigungen</t>
  </si>
  <si>
    <t>14 Übriger Erwerb</t>
  </si>
  <si>
    <t>Lohnsumme der Zupendler aus Österreich</t>
  </si>
  <si>
    <t>Steuersubjekt: Unverheiratete Person mit Erwerb aus unselbständiger Tätigkeit und null Reinvermögen.</t>
  </si>
  <si>
    <t>Steuersubjekt: Ehepaar mit 2 Kindern mit Erwerb aus unselbständiger Tätigkeit und null Reinvermögen.</t>
  </si>
  <si>
    <t>Steuersubjekt: Ehepaar ohne Kinder mit Erwerb aus unselbständiger Tätigkeit und null Reinvermögen.</t>
  </si>
  <si>
    <t>Steuersubjekt: Alleinerziehende mit 2 Kindern mit Erwerb aus unselbständiger Tätigkeit und null Reinvermögen.</t>
  </si>
  <si>
    <t xml:space="preserve">D.59 Sonstige direkte Steuern und Abgaben </t>
  </si>
  <si>
    <t>D.51 Einkommensteuern</t>
  </si>
  <si>
    <t>D.29 Sonstige Produktionsabgaben</t>
  </si>
  <si>
    <t>D.214 Sonstige Gütersteuern</t>
  </si>
  <si>
    <t>D.212 Importabgaben</t>
  </si>
  <si>
    <t>D.211 Mehrwertsteuer</t>
  </si>
  <si>
    <t>D.21 Gütersteuern</t>
  </si>
  <si>
    <t>Gesamtgrössen für die Berechnung der Kennzahlen</t>
  </si>
  <si>
    <t>in Mio. CHF</t>
  </si>
  <si>
    <t>Kennzahlen zu den Steuereinnahmen</t>
  </si>
  <si>
    <t>in %</t>
  </si>
  <si>
    <t>in CHF</t>
  </si>
  <si>
    <t>Anteile der direkten und indirekten Steuern</t>
  </si>
  <si>
    <t>Übersicht gemäss den Kategorien der OECD</t>
  </si>
  <si>
    <t>Anteile gemäss den Kategorien der OECD</t>
  </si>
  <si>
    <t>Details gemäss den Kategorien der OECD</t>
  </si>
  <si>
    <t>Erläuterungen zur Tabelle 3.2.3 "Details gemäss den Kategorien der OECD":</t>
  </si>
  <si>
    <t>Übersicht gemäss den Kategorien der VGR</t>
  </si>
  <si>
    <t>Anteile gemäss den Kategorien der VGR</t>
  </si>
  <si>
    <t>Erläuterungen zur Tabelle 3.3.1 "Übersicht gemäss den Kategorien der VGR":</t>
  </si>
  <si>
    <t>Steuerbelastung unverheirateter Personen nach Erwerbsklassen</t>
  </si>
  <si>
    <t>Berechnung der Steuerbelastung unverheirateter Personen</t>
  </si>
  <si>
    <t>Berechnung der Steuerbelastung von Ehepaaren ohne Kinder</t>
  </si>
  <si>
    <t>Steuerbelastung von Ehepaaren mit 2 Kindern nach Erwerbsklassen</t>
  </si>
  <si>
    <t>Berechnung der Steuerbelastung von Ehepaaren mit 2 Kindern</t>
  </si>
  <si>
    <t>Berechnung der Steuerbelastung von Alleinerziehenden mit 2 Kindern</t>
  </si>
  <si>
    <t>Steuerbelastung von Alleinerziehenden mit 2 Kindern nach Erwerbsklassen</t>
  </si>
  <si>
    <t>Fiskaleinnahmen und Steuereinnahmen seit 1998</t>
  </si>
  <si>
    <t>in CHF und Veränderung in %</t>
  </si>
  <si>
    <t>Steuerbelastung von Ehepaaren ohne Kinder nach Erwerbsklassen</t>
  </si>
  <si>
    <t>Übersicht zu den direkten und indirekten Steuern</t>
  </si>
  <si>
    <t xml:space="preserve">in CHF </t>
  </si>
  <si>
    <t>Übersicht zur Ertragssteuer nach Rechnungsjahr</t>
  </si>
  <si>
    <t>Übersicht zur Ertragssteuer nach Steuerjahr</t>
  </si>
  <si>
    <t>Übersicht zur Couponsteuer nach Rechnungsjahr</t>
  </si>
  <si>
    <t>Berechnungsgrundlage der Couponsteuer nach Rechnungsjahr</t>
  </si>
  <si>
    <t>Übersicht zur Couponsteuer nach Steuerjahr</t>
  </si>
  <si>
    <t>Berechnungsgrundlage der Couponsteuer nach Steuerjahr</t>
  </si>
  <si>
    <t>Steuern zu Gesamteinnahmen Land und Gemeinden</t>
  </si>
  <si>
    <t>Steuern zu Gesamteinnahmen Gemeinden</t>
  </si>
  <si>
    <t>Gesamteinnahmen Land und Gemeinden</t>
  </si>
  <si>
    <t>Ertragssteuer nach Gemeinde und Steuerjahr</t>
  </si>
  <si>
    <t>Ertragssteuer nach Gemeinde und Rechnungsjahr</t>
  </si>
  <si>
    <t>Vermögens- und Erwerbssteuer, Ertragssteuer sowie Couponsteuer seit 1990</t>
  </si>
  <si>
    <t>Nachlass- und Erbanfallsteuer, Schenkungssteuer sowie Stempelabgaben seit 1990</t>
  </si>
  <si>
    <t>Gründungsabgabe, Mehrwertsteuer sowie Steuer der ausländischen Versicherungsgesellschaften seit 1990</t>
  </si>
  <si>
    <t>Motorfahrzeugsteuer, Besteuerung nach dem Aufwand (Rentnersteuer), Total der 14 aufgeführten Steuerarten seit 1990</t>
  </si>
  <si>
    <t>Leistungen der betriebl. Personalvorsorge</t>
  </si>
  <si>
    <t>Leistungen der AHV/IV</t>
  </si>
  <si>
    <t>aus Leistungen der betriebl. Personalvorsorge</t>
  </si>
  <si>
    <t>aus Leistungen der AHV/IV</t>
  </si>
  <si>
    <t>aus Sitzungsgeldern</t>
  </si>
  <si>
    <t>AHV, IV, ALV, NBU (6.55%)</t>
  </si>
  <si>
    <t>Steuerbarer Erwerb</t>
  </si>
  <si>
    <t>Steuerpflichtiger Reinverlust (Pos. 470 (-))</t>
  </si>
  <si>
    <t>Modifiziertes Eigenkapital (Pos. 580 (+))</t>
  </si>
  <si>
    <t>1.1 Grundeigentum in Liechtenstein</t>
  </si>
  <si>
    <t>1.2 Grundeigentum im Ausland</t>
  </si>
  <si>
    <t>T 2.1.3: Die Vermögensangaben entsprechen dem Stand am 1. Januar.</t>
  </si>
  <si>
    <t>davon 14.6 Sollertrag</t>
  </si>
  <si>
    <t>3.1 Bank- und Postkonti, Bargeld</t>
  </si>
  <si>
    <t>3.2 Wertschriften, Edelmetalle</t>
  </si>
  <si>
    <t>3.3 Firmenwerte</t>
  </si>
  <si>
    <t>Ertragssteuer nach Wirtschaftszweig und Steuerjahr</t>
  </si>
  <si>
    <t>C Herstellung von Waren</t>
  </si>
  <si>
    <t>Keine Angabe zum Wirtschaftszweig</t>
  </si>
  <si>
    <t>T 7.4</t>
  </si>
  <si>
    <t>T 7.6</t>
  </si>
  <si>
    <t>Ausgewiesen werden die vereinbarten Mehrwertsteuerzahlungen (Forderungsprinzip).</t>
  </si>
  <si>
    <t>Ertragssteuer: Bis Rechnungsjahr 2011 als Kapital- und Ertragssteuer bezeichnet.</t>
  </si>
  <si>
    <t>3.4 Darlehens- und Ausschüttungsguthaben</t>
  </si>
  <si>
    <t>Erläuterungen zu den Tabellen:</t>
  </si>
  <si>
    <t>Übersicht zur Vermögens- und Erwerbssteuer nach Rechnungsjahr</t>
  </si>
  <si>
    <t>Vermögens- und Erwerbssteuer nach Gemeinde und Rechnungsjahr</t>
  </si>
  <si>
    <t>Berechnungsgrundlagen der Vermögenssteuer nach Steuerjahr</t>
  </si>
  <si>
    <t>Berechnungsgrundlagen der Erwerbssteuer nach Steuerjahr</t>
  </si>
  <si>
    <t>Berechnungsgrundlagen der Ertragssteuer nach Steuerjahr</t>
  </si>
  <si>
    <t>Ertragssteuer nach Grössenklasse und Steuerjahr</t>
  </si>
  <si>
    <t>Übersicht zur Grundstücksgewinnsteuer nach Rechnungsjahr</t>
  </si>
  <si>
    <t>Grundstücksgewinnsteuer nach Gemeinde und Rechnungsjahr</t>
  </si>
  <si>
    <t>Berechnungsgrundlagen der Grundstücksgewinnsteuer nach Rechnungsjahr</t>
  </si>
  <si>
    <t>Übersicht zur Quellensteuer nach Rechnungsjahr</t>
  </si>
  <si>
    <t>Übersicht zu den Besonderen Gesellschaftssteuern nach Rechnungsjahr</t>
  </si>
  <si>
    <t>Übersicht zur Schenkungssteuer nach Rechnungsjahr</t>
  </si>
  <si>
    <t>Übersicht zu den Stempelabgaben nach Rechnungsjahr</t>
  </si>
  <si>
    <t>Stempelabgaben nach Abgabenart und Rechnungsjahr</t>
  </si>
  <si>
    <t>Berechnungsgrundlagen der Stempelabgaben nach Rechnungsjahr</t>
  </si>
  <si>
    <t>Übersicht zur Gründungsabgabe nach Rechnungsjahr</t>
  </si>
  <si>
    <t>Übersicht zur Mehrwertsteuer nach Rechnungsjahr</t>
  </si>
  <si>
    <t>Berechnungsgrundlagen der Mehrwertsteuer nach Rechnungsjahr</t>
  </si>
  <si>
    <t>Mehrwertsteuerein- und -auszahlungen der Steuerverwaltung nach Rechnungsjahr</t>
  </si>
  <si>
    <t>Übersicht zur Motorfahrzeugsteuer nach Rechnungsjahr</t>
  </si>
  <si>
    <t>Motorfahrzeugsteuer nach Fahrzeugkategorien und Rechnungsjahr</t>
  </si>
  <si>
    <t>Übersicht zu den übrigen Steuerarten nach Rechnungsjahr</t>
  </si>
  <si>
    <t>Übrige Steuerarten nach Art und Rechnungsjahr</t>
  </si>
  <si>
    <t>Erläuterungen zur Tabelle:</t>
  </si>
  <si>
    <t>Steuerbarer Grundstücksgewinn nach Gemeinde und Rechnungsjahr</t>
  </si>
  <si>
    <t>Berechnungsgrundlagen der Quellensteuer nach Rechnungsjahr</t>
  </si>
  <si>
    <t>Einbehalt Abgeltungssteuerabkommen AT</t>
  </si>
  <si>
    <t>Gesamte Erträge</t>
  </si>
  <si>
    <t>./. Mindestertragssteuer PVS und Trust</t>
  </si>
  <si>
    <t>Einnahmen aus Veranlagungen</t>
  </si>
  <si>
    <t>Einnahmen pro Veranlagung</t>
  </si>
  <si>
    <t>CO2-Ertrag auf Treibstoffabsatz</t>
  </si>
  <si>
    <t>Rechnungsjahr: Bis 2013 werden die Einnahmen ausgewiesen, ab 2014 die Erträge.</t>
  </si>
  <si>
    <t>Grundstücksgewinnsteuer, Quellensteuern sowie Besondere Gesellschaftssteuern seit 1990</t>
  </si>
  <si>
    <t>Quellensteuern</t>
  </si>
  <si>
    <t>Quellensteuern: Bis Rechnungsjahr 2011 umfasste die Quellensteuer nur die Quellensteuer der Zupendler aus Österreich.</t>
  </si>
  <si>
    <t>./. Veränderung der Wertberichtigung</t>
  </si>
  <si>
    <t>Gesamte Erträge nach Wertberichtigung</t>
  </si>
  <si>
    <t>3.5 Begünstigungen</t>
  </si>
  <si>
    <t>./. Veränderung der Forderungen</t>
  </si>
  <si>
    <t>Veränderung der Forderungen: Die Veränderung der Forderungen beinhaltet auch die Veränderung des Delkrederes auf den Forderungen der Steuerverwaltung.</t>
  </si>
  <si>
    <t>Direkte Zuweisung: Die Mehrwertsteuererträge aus verschiedenen Wirtschaftszweigen der Bereiche Information und Kommunikation, Finanz- und Versicherungsdienstleistungen, Grundstücks- und Wohnungswesen, freiberufliche, wissenschaftliche und technische Dienstleistungen, sonstige wirtschaftliche Dienstleistungen und sonstige Dienstleistungen fliessen aus dem Pool direkt dem Staat zu, in welchem sie eingenommen wurden (NOGA 2008: Wirtschaftszweige 62-71, 73, 74, 78, 80-82, 96).</t>
  </si>
  <si>
    <t>Direkte Steuern: Zu den direkten Steuern werden hier die Steuerarten der Gruppen 1000, 3000, 4000 und 6000 der OECD-Klassifikation gerechnet. Sie umfassen insbesondere die Vermögens- und Erwerbssteuer, die Ertragssteuer, die Couponsteuer, die Grundstücksgewinnsteuer, die Quellensteuer, die Besonderen Gesellschaftssteuern, die Gründungsabgabe, die Emissionsabgabe, die Effektenumsatzabgabe und die Steuer nach dem Aufwand.</t>
  </si>
  <si>
    <t>1210 Steuern auf Einkommen und Unternehmensgewinnen der juristischen Personen: Ertragssteuer, Couponsteuer</t>
  </si>
  <si>
    <t>D.91 Vermögenswirksame Steuern: Schenkungssteuer</t>
  </si>
  <si>
    <t>D.51 Einkommensteuern: Vermögens- und Erwerbssteuer, Einbehalt EU-Zinsbesteuerungsanteil, Einbehalt Abgeltungssteuerabkommen AT, Quellensteuer, Ertragssteuer, Couponsteuer</t>
  </si>
  <si>
    <t>1 - 10'000 CHF</t>
  </si>
  <si>
    <t>10'001 - 50'000 CHF</t>
  </si>
  <si>
    <t>50'001 - 200'000 CHF</t>
  </si>
  <si>
    <t>200'001 - 1'000'000 CHF</t>
  </si>
  <si>
    <t>1'000'001+ CHF</t>
  </si>
  <si>
    <t>Ertragssteuerbelastung bei einem Kapital von CHF 100'000 nach Renditeklassen</t>
  </si>
  <si>
    <t>Berechnung der Ertragssteuerbelastung bei einem Kapital von CHF 100'000</t>
  </si>
  <si>
    <t>Ertragssteuerbelastung bei einem Kapital von CHF 2'000'000 nach Renditeklassen</t>
  </si>
  <si>
    <t>Berechnung der Ertragssteuerbelastung bei einem Kapital von CHF 2'000'000</t>
  </si>
  <si>
    <t>3.6 Rückkaufsfähige Lebensversicherungen</t>
  </si>
  <si>
    <t>3.7 Unverteilte Erbschaften</t>
  </si>
  <si>
    <t>3.8 Hausrat und Fahrzeuge</t>
  </si>
  <si>
    <t>3.9 Übrige Vermögenswerte</t>
  </si>
  <si>
    <t>Gesamte Fiskaleinnahmen: Gesamte Steuereinnahmen und obligatorische Sozialversicherungsbeiträge gemäss ESVG-Definition.</t>
  </si>
  <si>
    <t>Steuern zu Gesamteinnahmen Land: Steuereinnahmen des Landes gemäss ESVG-Definition in % der Gesamteinnahmen des Landes.</t>
  </si>
  <si>
    <t>Steuer nach dem Aufwand</t>
  </si>
  <si>
    <t>T 2.2.4: Die Aufgliederung der Ertragssteuer nach Gemeinde erfolgt aufgrund des statutarischen Sitzes des steuerpflichtigen Unternehmens, wobei Betriebsstättenergebnisse entsprechend zugewiesen werden.</t>
  </si>
  <si>
    <t>Modifiziertes Eigenkapital: Das modifizierte Eigenkapital besteht im Beispiel aus dem Kapital, inkl. Reserven, von CHF 100000, abzüglich 6% aller Vermögenswerte gemäss Art. 54 SteG. Es wird angenommen, dass die juristische Person Vermögenswerte von CHF 300000 hat, keine eigenen Anteile, keine Beteiligungen an juristischen Personen und keine kollektiven Kapitalanlagen (Fonds) hält, nur betriebsnotwendiges Vermögen aufweist und keine Ausschüttungen getätigt hat.</t>
  </si>
  <si>
    <t>Modifiziertes Eigenkapital: Das modifizierte Eigenkapital besteht im Beispiel aus dem Kapital, inkl. Reserven, von CHF 2000000, abzüglich 6% aller Vermögenswerte gemäss Art. 54 SteG. Es wird angenommen, dass die juristische Person Vermögenswerte von CHF 6000000 hat, keine eigenen Anteile, keine Beteiligungen an juristischen Personen und keine kollektiven Kapitalanlagen (Fonds) hält, nur betriebsnotwendiges Vermögen aufweist und keine Ausschüttungen getätigt hat.</t>
  </si>
  <si>
    <t>Steuereinnahmen Land</t>
  </si>
  <si>
    <t>Steuereinnahmen Gemeinden</t>
  </si>
  <si>
    <t>Gesamteinnahmen Land</t>
  </si>
  <si>
    <t>Gesamteinnahmen Gemeinden</t>
  </si>
  <si>
    <t>RJ 2016</t>
  </si>
  <si>
    <t>Veranlagungen: Die Anzahl der Veranlagungen ergibt sich aus den in Rechnung gestellten und bezahlten Ertragssteuern. Veranlagungen mit einem Betrag von weniger als CHF 0.01 werden nicht gezählt.</t>
  </si>
  <si>
    <t>3.1.1</t>
  </si>
  <si>
    <t>3.2.1</t>
  </si>
  <si>
    <t>3.2.3</t>
  </si>
  <si>
    <t>3.3.1</t>
  </si>
  <si>
    <t>Schenkungssteuer: Mit dem geltenden Steuergesetz wurde die Schenkungssteuer per 1. Januar 2011 abgeschafft. Bis 2013 werden die Einnahmen ausgewiesen, ab 2014 die Erträge.</t>
  </si>
  <si>
    <t>Nachlass- und Erbanfallsteuer: Mit dem geltenden Steuergesetz wurden die Nachlass- und Erbanfallsteuer per 1. Januar 2011 abgeschafft.</t>
  </si>
  <si>
    <t>Gründungsabgabe, Steuer ausl. Versicherer: Bis 2013 werden die Einnahmen ausgewiesen, ab 2014 die Erträge. Die Steuer ausl. Versicherer wurde mit dem neuen Steuergesetz aufgehoben; bei den Beträgen in den Jahren 2013, 2014 und 2016 handelt es sich um Fälle gemäss früherem Steuergesetz.</t>
  </si>
  <si>
    <t>1 Kennzahlen</t>
  </si>
  <si>
    <t>2 Die Ergebnisse der einzelnen Steuerarten</t>
  </si>
  <si>
    <t>2.1.1</t>
  </si>
  <si>
    <t>2.1.2</t>
  </si>
  <si>
    <t>2.1.3</t>
  </si>
  <si>
    <t>2.1.4</t>
  </si>
  <si>
    <t>2.2.1</t>
  </si>
  <si>
    <t>2.2.2</t>
  </si>
  <si>
    <t>2.2.3</t>
  </si>
  <si>
    <t>2.2.4</t>
  </si>
  <si>
    <t>2.2.5</t>
  </si>
  <si>
    <t>2.2.6</t>
  </si>
  <si>
    <t>2.2.7</t>
  </si>
  <si>
    <t>2.3.1</t>
  </si>
  <si>
    <t>2.3.2</t>
  </si>
  <si>
    <t>2.3.3</t>
  </si>
  <si>
    <t>2.3.4</t>
  </si>
  <si>
    <t>2.4.1</t>
  </si>
  <si>
    <t>2.4.2</t>
  </si>
  <si>
    <t>2.4.3</t>
  </si>
  <si>
    <t>2.4.4</t>
  </si>
  <si>
    <t>Quellensteuer</t>
  </si>
  <si>
    <t>2.5.1</t>
  </si>
  <si>
    <t>2.5.2</t>
  </si>
  <si>
    <t>2.6.1</t>
  </si>
  <si>
    <t>2.8.1</t>
  </si>
  <si>
    <t>2.9.1</t>
  </si>
  <si>
    <t>2.9.2</t>
  </si>
  <si>
    <t>2.9.3</t>
  </si>
  <si>
    <t>2.10.1</t>
  </si>
  <si>
    <t>Mehrwertsteuer</t>
  </si>
  <si>
    <t>2.11.1</t>
  </si>
  <si>
    <t>2.11.2</t>
  </si>
  <si>
    <t>2.11.3</t>
  </si>
  <si>
    <t>2.13.1</t>
  </si>
  <si>
    <t>2.13.2</t>
  </si>
  <si>
    <t>Übrige Steuerarten</t>
  </si>
  <si>
    <t>2.14.1</t>
  </si>
  <si>
    <t>2.14.2</t>
  </si>
  <si>
    <t>3 Die Struktur der Steuereinnahmen</t>
  </si>
  <si>
    <t>Direkte und indirekte Steuern</t>
  </si>
  <si>
    <t>3.1.2</t>
  </si>
  <si>
    <t>Steuern gemäss den Kategorien der OECD</t>
  </si>
  <si>
    <t>3.2.2</t>
  </si>
  <si>
    <t>Steuern gemäss den Kategorien der Volkswirtschaftlichen Gesamtrechnung</t>
  </si>
  <si>
    <t>3.3.2</t>
  </si>
  <si>
    <t>4 Die Vermögens- und Erwerbssteuerbelastung natürlicher Personen</t>
  </si>
  <si>
    <t>Steuerbelastung unverheirateter Personen</t>
  </si>
  <si>
    <t>4.1.1</t>
  </si>
  <si>
    <t>4.1.2</t>
  </si>
  <si>
    <t>Steuerbelastung von Ehepaaren ohne Kinder</t>
  </si>
  <si>
    <t>4.2.1</t>
  </si>
  <si>
    <t>4.2.2</t>
  </si>
  <si>
    <t>Steuerbelastung von Ehepaaren mit 2 Kindern</t>
  </si>
  <si>
    <t>4.3.1</t>
  </si>
  <si>
    <t>4.3.2</t>
  </si>
  <si>
    <t>Steuerbelastung von Alleinerziehenden mit 2 Kindern</t>
  </si>
  <si>
    <t>4.4.1</t>
  </si>
  <si>
    <t>4.4.2</t>
  </si>
  <si>
    <t>5 Die Ertragssteuerbelastung juristischer Personen</t>
  </si>
  <si>
    <t>Ertragssteuerbelastung von Unternehmen mit CHF 100 000 Kapital</t>
  </si>
  <si>
    <t>Ertragssteuerbelastung bei einem Kapital von CHF 100 000 nach Renditeklassen</t>
  </si>
  <si>
    <t>5.1.1</t>
  </si>
  <si>
    <t>Berechnung der Ertragssteuerbelastung bei einem Kapital von CHF 100 000</t>
  </si>
  <si>
    <t>5.1.2</t>
  </si>
  <si>
    <t>Ertragssteuerbelastung von Unternehmen mit CHF 2 000 000 Kapital</t>
  </si>
  <si>
    <t>Ertragssteuerbelastung bei einem Kapital von CHF 2 000 000 nach Renditeklassen</t>
  </si>
  <si>
    <t>5.2.1</t>
  </si>
  <si>
    <t>Berechnung der Ertragssteuerbelastung bei einem Kapital von CHF 2 000 000</t>
  </si>
  <si>
    <t>5.2.2</t>
  </si>
  <si>
    <t>7 Zeitreihen</t>
  </si>
  <si>
    <t>7.1</t>
  </si>
  <si>
    <t>7.2</t>
  </si>
  <si>
    <t>7.3</t>
  </si>
  <si>
    <t>7.4</t>
  </si>
  <si>
    <t>7.5</t>
  </si>
  <si>
    <t>7.6</t>
  </si>
  <si>
    <t>RJ 2017</t>
  </si>
  <si>
    <t>Geldspielabgabe</t>
  </si>
  <si>
    <t>Effektenumsatzabgabe</t>
  </si>
  <si>
    <t>RJ 2018</t>
  </si>
  <si>
    <t>RJ 2019</t>
  </si>
  <si>
    <t>StJ 2018</t>
  </si>
  <si>
    <t>Steuerjahr 2018</t>
  </si>
  <si>
    <t>Steuerverwaltung, Amt für Strassenverkehr</t>
  </si>
  <si>
    <t>Landesrechnung, Amt für Strassenverkehr, Fahrzeugstatistik</t>
  </si>
  <si>
    <t>Steuerjahr 2018: Ausgewiesen sind alle Ertragssteuerzahlungen bis zum 30. Juni 2020 für das Steuerjahr 2018. Diese basieren auf einer Veranlagung oder auf einer provisorischen Rechnung gemäss Art. 127 Abs. 2 SteG.</t>
  </si>
  <si>
    <t>Steuersubjekt: Juristische Person, welche ein Kapital, inkl. Reserven, von CHF 100000 aufweist. Es wird angenommen, dass die juristische Person ein nach kaufmännischer Art geführtes Gewerbe betreibt und dass die Bilanzsumme der letzten 3 Jahre unter CHF 500000 liegt, weshalb die Mindestertragssteuer von CHF 1800 entfällt (Art. 62 SteG).</t>
  </si>
  <si>
    <t>1110 Steuern auf Einkommen und Unternehmensgewinnen der natürlichen Personen: Vermögens- und Erwerbssteuer, Einbehalt EU-Zinsbesteuerungsanteil, Einbehalt Abgeltungssteuerabkommen AT, Quellensteuer, Besteuerung nach dem Aufwand</t>
  </si>
  <si>
    <t>6200 Andere Steuern - Von anderen entrichtet: Einbürgerungssteuer, Hundesteuer</t>
  </si>
  <si>
    <t>D.59 Sonstige direkte Steuern und Abgaben: Besondere Gesellschaftssteuern, Motorfahrzeugsteuer, Steuer nach dem Aufwand, Einbürgerungssteuer, Hundesteuer</t>
  </si>
  <si>
    <t xml:space="preserve">Steuersubjekt: Juristische Person, welche ein Kapital, inkl. Reserven, von CHF 2000000 aufweist. </t>
  </si>
  <si>
    <t>Titel</t>
  </si>
  <si>
    <t>Tabelle</t>
  </si>
  <si>
    <t>Gründungsabgabe, Mehrwertsteuer sowie Steuer der ausländischen Versicherungs-gesellschaften seit 1990</t>
  </si>
  <si>
    <t>RJ 2020</t>
  </si>
  <si>
    <t>StJ 2019</t>
  </si>
  <si>
    <t>Steuerjahr 2019</t>
  </si>
  <si>
    <t>in CHF und in % des Bruttoerwerbs, Steuerjahr 2019</t>
  </si>
  <si>
    <t>in CHF, Steuerjahr 2019</t>
  </si>
  <si>
    <t>in CHF und in % des Reinertrags, Steuerjahr 2019</t>
  </si>
  <si>
    <t>Korrektur Poolanteil Vorjahr</t>
  </si>
  <si>
    <t>Anzahl Veranlagungen: Die Anzahl der Veranlagungen eines Rechnungsjahres ergibt sich aus der Anzahl Zahlungen, die die Steuerpflichtigen im Rechnungsjahr für das laufende Steuerjahr und für frühere Steuerjahre geleistet haben. Veranlagungen mit einem Zahlungsbetrag von weniger als CHF 0.01 werden nicht gezählt. Im RJ 2020 sind es 15184 definitive Veranlagungen und 3926 provisorische Rechnungen. Die Einhebung der Mindestertragssteuer PVS und Trust erfolgt ohne Veranlagung.</t>
  </si>
  <si>
    <t>Steuerjahr 2019: Ausgewiesen sind alle Ertragssteuerzahlungen bis zum 30. Juni 2021 für das Steuerjahr 2019. Diese basieren auf einer Veranlagung oder auf einer provisorischen Rechnung gemäss Art. 127 Abs. 2 SteG.</t>
  </si>
  <si>
    <t>T 2.2.6: Die Tabelle basiert für das Steuerjahr 2019 auf 12803 Veranlagungen mit einem positiven Steuerbetrag und auf 1527 Veranlagungen mit einem Steuerbetrag von weniger als CHF 0.01. Im Steuerjahr 2018 waren es 13254 Veranlagungen mit einem positiven Steuerbetrag und 1426 Veranlagungen mit einem Steuerbetrag von weniger als CHF 0.01.</t>
  </si>
  <si>
    <t>Bruttoinlandsprodukt: 2018 provisorisch, 2019 geschätzt, 2020 noch nicht verfügbar.</t>
  </si>
  <si>
    <t>-</t>
  </si>
  <si>
    <t>5120 Steuern auf bestimmte Waren und Dienstleistungen: CO2-Abgabe, CO2-Ertrag auf Treibstoffabsatz, Zollerträge, Stempelabgaben auf Versicherungsprämien, Unfallverhütungsbeiträge, Geldspielabgabe</t>
  </si>
  <si>
    <t>D.214 Sonstige Gütersteuern: Emissionsabgabe, Umsatzabgabe, Stempelabgabe auf Versicherungsprämien, Gründungsabgabe, Grundstücksgewinnsteuer, CO2-Abgabe, CO2-Ertrag auf Treibstoffabsatz, Unfallverhütungsbeiträge, Geldspielabgabe</t>
  </si>
  <si>
    <t xml:space="preserve">LSVA: Durch eine Anpassung bei der Klassifizierung der Leistungsabhängigen Schwerverkehrsabgabe (LSVA) im Rahmen der Volkswirtschaftlichen Gesamtrechnung (VGR), wird diese nicht mehr als Steuer erfasst und erscheint daher nicht mehr in der vorliegenden Steuerstatistik als Steuereinnahme. </t>
  </si>
  <si>
    <t>Indirekte Steuern: Zu den indirekten Steuern werden hier die Steuerarten der Gruppe 5000 der OECD-Klassifikation gerechnet. Sie umfasst insbesondere die Mehrwertsteuer, die CO2-Abgabe, die Motorfahrzeugsteuer, die Zollerträge und die Stempelabgabe auf Versicherungsprämien.</t>
  </si>
  <si>
    <t>Steuereinnahmen des Landes: Nach Abzug der Finanzzuweisungen an die Gemeinden.</t>
  </si>
  <si>
    <t>Tabelle 1.1</t>
  </si>
  <si>
    <t>Tabelle 1.2</t>
  </si>
  <si>
    <t>Tabelle 2.1.1</t>
  </si>
  <si>
    <t>Tabelle 2.1.2</t>
  </si>
  <si>
    <t>Tabelle 2.1.4</t>
  </si>
  <si>
    <t>Tabelle 2.1.3</t>
  </si>
  <si>
    <t>Tabelle 2.2.1</t>
  </si>
  <si>
    <t>Tabelle 2.2.2</t>
  </si>
  <si>
    <t>Tabelle 2.2.3</t>
  </si>
  <si>
    <t>Tabelle 2.2.4</t>
  </si>
  <si>
    <t>Tabelle 2.2.5</t>
  </si>
  <si>
    <t>Tabelle 2.2.6</t>
  </si>
  <si>
    <t>Tabelle 2.2.7</t>
  </si>
  <si>
    <t>Tabelle 2.4.1</t>
  </si>
  <si>
    <t>Tabelle 2.4.2</t>
  </si>
  <si>
    <t>Tabelle 2.4.4</t>
  </si>
  <si>
    <t>Tabelle 2.4.3</t>
  </si>
  <si>
    <t>Tabelle 2.5.1</t>
  </si>
  <si>
    <t>Tabelle 2.5.2</t>
  </si>
  <si>
    <t>Tabelle 2.6.1</t>
  </si>
  <si>
    <t>Tabelle 2.9.1</t>
  </si>
  <si>
    <t>Tabelle 2.9.2</t>
  </si>
  <si>
    <t>Tabelle 2.9.3</t>
  </si>
  <si>
    <t>Tabelle 2.10.1</t>
  </si>
  <si>
    <t>Tabelle 2.11.1</t>
  </si>
  <si>
    <t>Tabelle 2.11.2</t>
  </si>
  <si>
    <t>Tabelle 2.13.2</t>
  </si>
  <si>
    <t>Tabelle 2.13.1</t>
  </si>
  <si>
    <t>Tabelle 2.14.1</t>
  </si>
  <si>
    <t>Tabelle 2.14.2</t>
  </si>
  <si>
    <t>CO2-Abgabe: Der Betrag entspricht dem Anteil, welcher nicht rückverteilt wird. Die gesamten Einnahmen aus der CO2-Abgabe belaufen sich im RJ 2020 auf CHF 7'671'976.</t>
  </si>
  <si>
    <t>Tabelle 2.11.3</t>
  </si>
  <si>
    <t>Tabelle 3.1.1</t>
  </si>
  <si>
    <t>Tabelle 3.1.2</t>
  </si>
  <si>
    <t>Tabelle 3.2.2</t>
  </si>
  <si>
    <t>Tabelle 3.3.2</t>
  </si>
  <si>
    <t>Tabelle 4.1.1</t>
  </si>
  <si>
    <t>Tabelle 4.1.2</t>
  </si>
  <si>
    <t>Tabelle 5.1.2</t>
  </si>
  <si>
    <t>Tabelle 5.2.2</t>
  </si>
  <si>
    <t>Tabelle 4.2.1</t>
  </si>
  <si>
    <t>Tabelle 4.2.2</t>
  </si>
  <si>
    <t>Tabelle 4.3.1</t>
  </si>
  <si>
    <t>Tabelle 4.3.2</t>
  </si>
  <si>
    <t>Tabelle 3.2.1</t>
  </si>
  <si>
    <t>Tabelle 3.2.3</t>
  </si>
  <si>
    <t>Tabelle 3.3.1</t>
  </si>
  <si>
    <t>Tabelle 4.4.1</t>
  </si>
  <si>
    <t>Tabelle 4.4.2</t>
  </si>
  <si>
    <t>Tabelle 7.1</t>
  </si>
  <si>
    <t>Tabelle 7.2</t>
  </si>
  <si>
    <t>Tabelle 7.3</t>
  </si>
  <si>
    <t>Tabelle 7.4</t>
  </si>
  <si>
    <t>Tabelle 7.5</t>
  </si>
  <si>
    <t>&lt;&lt;&lt; Inhalt</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</si>
  <si>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</si>
  <si>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</si>
  <si>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</si>
  <si>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</si>
  <si>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</si>
  <si>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</si>
  <si>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</si>
  <si>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</si>
  <si>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</si>
  <si>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</si>
  <si>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</si>
  <si>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simon.gstöhl@llv.li, +423 236 68 77</t>
  </si>
  <si>
    <t xml:space="preserve">Sprache: </t>
  </si>
  <si>
    <t>Deutsch</t>
  </si>
  <si>
    <t>Nutzungsbedingungen:</t>
  </si>
  <si>
    <t>CC BY</t>
  </si>
  <si>
    <t>Publikations-ID:</t>
  </si>
  <si>
    <t>Simon Gstöhl</t>
  </si>
  <si>
    <t>502.2020.01</t>
  </si>
  <si>
    <t>Steuern und Abgaben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</si>
</sst>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0" formatCode="0.0%;\-0.0%;&quot;-&quot;"/>
    <numFmt numFmtId="172" formatCode="_(* #,##0_);_(* \(#,##0\);_(* &quot;-&quot;_);_(@_)"/>
    <numFmt numFmtId="173" formatCode="0%;\-0%;&quot;-&quot;"/>
    <numFmt numFmtId="174" formatCode="#,##0;\-#,##0;&quot;-&quot;;@"/>
    <numFmt numFmtId="176" formatCode="0.000%;\-0.000%;&quot;-&quot;"/>
  </numFmts>
  <fonts count="72">
    <font>
      <sz val="10"/>
      <name val="Arial"/>
    </font>
    <font>
      <sz val="11"/>
      <color theme="1"/>
      <name val="Calibri"/>
      <family val="2"/>
      <scheme val="minor"/>
    </font>
    <font>
      <sz val="8"/>
      <name val="Arial"/>
      <family val="2"/>
    </font>
    <font>
      <sz val="10"/>
      <name val="Arial"/>
      <family val="2"/>
    </font>
    <font>
      <u/>
      <sz val="10"/>
      <color indexed="12"/>
      <name val="Arial"/>
      <family val="2"/>
    </font>
    <font>
      <sz val="10"/>
      <color indexed="8"/>
      <name val="Arial"/>
      <family val="2"/>
    </font>
    <font>
      <sz val="10"/>
      <name val="Arial"/>
      <family val="2"/>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2"/>
      <color theme="1"/>
      <name val="Calibri"/>
      <family val="2"/>
      <scheme val="minor"/>
    </font>
    <font>
      <sz val="10"/>
      <name val="Calibri"/>
      <family val="2"/>
      <scheme val="minor"/>
    </font>
    <font>
      <b/>
      <sz val="10"/>
      <name val="Calibri"/>
      <family val="2"/>
      <scheme val="minor"/>
    </font>
    <font>
      <u/>
      <sz val="10"/>
      <color indexed="12"/>
      <name val="Calibri"/>
      <family val="2"/>
      <scheme val="minor"/>
    </font>
    <font>
      <sz val="10"/>
      <color theme="0"/>
      <name val="Calibri"/>
      <family val="2"/>
      <scheme val="minor"/>
    </font>
    <font>
      <b/>
      <sz val="10"/>
      <color theme="0"/>
      <name val="Calibri"/>
      <family val="2"/>
      <scheme val="minor"/>
    </font>
    <font>
      <sz val="12"/>
      <name val="Calibri"/>
      <family val="2"/>
      <scheme val="minor"/>
    </font>
    <font>
      <b/>
      <sz val="12"/>
      <name val="Calibri"/>
      <family val="2"/>
      <scheme val="minor"/>
    </font>
  </fonts>
  <fills count="51">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s>
  <cellStyleXfs count="243">
    <xf numFmtId="0" fontId="0" fillId="0" borderId="0"/>
    <xf numFmtId="0" fontId="27" fillId="18" borderId="0" applyNumberFormat="0" applyBorder="0" applyAlignment="0" applyProtection="0"/>
    <xf numFmtId="0" fontId="28" fillId="18" borderId="0" applyNumberFormat="0" applyBorder="0" applyAlignment="0" applyProtection="0"/>
    <xf numFmtId="0" fontId="27" fillId="19" borderId="0" applyNumberFormat="0" applyBorder="0" applyAlignment="0" applyProtection="0"/>
    <xf numFmtId="0" fontId="28" fillId="19" borderId="0" applyNumberFormat="0" applyBorder="0" applyAlignment="0" applyProtection="0"/>
    <xf numFmtId="0" fontId="27" fillId="20" borderId="0" applyNumberFormat="0" applyBorder="0" applyAlignment="0" applyProtection="0"/>
    <xf numFmtId="0" fontId="28" fillId="20" borderId="0" applyNumberFormat="0" applyBorder="0" applyAlignment="0" applyProtection="0"/>
    <xf numFmtId="0" fontId="27" fillId="21"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7" fillId="23" borderId="0" applyNumberFormat="0" applyBorder="0" applyAlignment="0" applyProtection="0"/>
    <xf numFmtId="0" fontId="28" fillId="23"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7" fillId="24" borderId="0" applyNumberFormat="0" applyBorder="0" applyAlignment="0" applyProtection="0"/>
    <xf numFmtId="0" fontId="28" fillId="24" borderId="0" applyNumberFormat="0" applyBorder="0" applyAlignment="0" applyProtection="0"/>
    <xf numFmtId="0" fontId="27" fillId="25"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8" fillId="26"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7" fillId="28" borderId="0" applyNumberFormat="0" applyBorder="0" applyAlignment="0" applyProtection="0"/>
    <xf numFmtId="0" fontId="28" fillId="28" borderId="0" applyNumberFormat="0" applyBorder="0" applyAlignment="0" applyProtection="0"/>
    <xf numFmtId="0" fontId="27" fillId="29" borderId="0" applyNumberFormat="0" applyBorder="0" applyAlignment="0" applyProtection="0"/>
    <xf numFmtId="0" fontId="28" fillId="29"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29" fillId="32" borderId="0" applyNumberFormat="0" applyBorder="0" applyAlignment="0" applyProtection="0"/>
    <xf numFmtId="0" fontId="30" fillId="32" borderId="0" applyNumberFormat="0" applyBorder="0" applyAlignment="0" applyProtection="0"/>
    <xf numFmtId="0" fontId="29" fillId="33" borderId="0" applyNumberFormat="0" applyBorder="0" applyAlignment="0" applyProtection="0"/>
    <xf numFmtId="0" fontId="30" fillId="33" borderId="0" applyNumberFormat="0" applyBorder="0" applyAlignment="0" applyProtection="0"/>
    <xf numFmtId="0" fontId="29" fillId="34" borderId="0" applyNumberFormat="0" applyBorder="0" applyAlignment="0" applyProtection="0"/>
    <xf numFmtId="0" fontId="30" fillId="34" borderId="0" applyNumberFormat="0" applyBorder="0" applyAlignment="0" applyProtection="0"/>
    <xf numFmtId="0" fontId="29" fillId="35" borderId="0" applyNumberFormat="0" applyBorder="0" applyAlignment="0" applyProtection="0"/>
    <xf numFmtId="0" fontId="30" fillId="35" borderId="0" applyNumberFormat="0" applyBorder="0" applyAlignment="0" applyProtection="0"/>
    <xf numFmtId="0" fontId="12" fillId="4"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29" fillId="36" borderId="0" applyNumberFormat="0" applyBorder="0" applyAlignment="0" applyProtection="0"/>
    <xf numFmtId="0" fontId="30" fillId="36" borderId="0" applyNumberFormat="0" applyBorder="0" applyAlignment="0" applyProtection="0"/>
    <xf numFmtId="0" fontId="29" fillId="37" borderId="0" applyNumberFormat="0" applyBorder="0" applyAlignment="0" applyProtection="0"/>
    <xf numFmtId="0" fontId="30" fillId="37" borderId="0" applyNumberFormat="0" applyBorder="0" applyAlignment="0" applyProtection="0"/>
    <xf numFmtId="0" fontId="29" fillId="38" borderId="0" applyNumberFormat="0" applyBorder="0" applyAlignment="0" applyProtection="0"/>
    <xf numFmtId="0" fontId="30" fillId="38" borderId="0" applyNumberFormat="0" applyBorder="0" applyAlignment="0" applyProtection="0"/>
    <xf numFmtId="0" fontId="29" fillId="39" borderId="0" applyNumberFormat="0" applyBorder="0" applyAlignment="0" applyProtection="0"/>
    <xf numFmtId="0" fontId="30" fillId="39" borderId="0" applyNumberFormat="0" applyBorder="0" applyAlignment="0" applyProtection="0"/>
    <xf numFmtId="0" fontId="29" fillId="40" borderId="0" applyNumberFormat="0" applyBorder="0" applyAlignment="0" applyProtection="0"/>
    <xf numFmtId="0" fontId="30" fillId="40"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31" fillId="42" borderId="10" applyNumberFormat="0" applyAlignment="0" applyProtection="0"/>
    <xf numFmtId="0" fontId="32" fillId="42" borderId="10" applyNumberFormat="0" applyAlignment="0" applyProtection="0"/>
    <xf numFmtId="0" fontId="13" fillId="3" borderId="0" applyNumberFormat="0" applyBorder="0" applyAlignment="0" applyProtection="0"/>
    <xf numFmtId="0" fontId="33" fillId="42" borderId="11" applyNumberFormat="0" applyAlignment="0" applyProtection="0"/>
    <xf numFmtId="0" fontId="34" fillId="42" borderId="11" applyNumberFormat="0" applyAlignment="0" applyProtection="0"/>
    <xf numFmtId="0" fontId="35" fillId="0" borderId="0" applyNumberFormat="0" applyFill="0" applyBorder="0" applyAlignment="0" applyProtection="0"/>
    <xf numFmtId="0" fontId="14" fillId="16" borderId="2" applyNumberFormat="0" applyAlignment="0" applyProtection="0"/>
    <xf numFmtId="0" fontId="15" fillId="17" borderId="3" applyNumberFormat="0" applyAlignment="0" applyProtection="0"/>
    <xf numFmtId="172" fontId="3" fillId="0" borderId="0" applyFont="0" applyFill="0" applyBorder="0" applyAlignment="0" applyProtection="0"/>
    <xf numFmtId="0" fontId="36" fillId="43" borderId="11" applyNumberFormat="0" applyAlignment="0" applyProtection="0"/>
    <xf numFmtId="0" fontId="37" fillId="43" borderId="11" applyNumberFormat="0" applyAlignment="0" applyProtection="0"/>
    <xf numFmtId="0" fontId="38" fillId="0" borderId="12" applyNumberFormat="0" applyFill="0" applyAlignment="0" applyProtection="0"/>
    <xf numFmtId="0" fontId="39" fillId="0" borderId="12"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42" fillId="44" borderId="0" applyNumberFormat="0" applyBorder="0" applyAlignment="0" applyProtection="0"/>
    <xf numFmtId="0" fontId="43" fillId="4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4" fillId="0" borderId="0" applyNumberFormat="0" applyFill="0" applyBorder="0" applyAlignment="0" applyProtection="0">
      <alignment vertical="top"/>
      <protection locked="0"/>
    </xf>
    <xf numFmtId="0" fontId="44" fillId="0" borderId="0" applyNumberFormat="0" applyFill="0" applyBorder="0" applyAlignment="0" applyProtection="0"/>
    <xf numFmtId="0" fontId="9" fillId="0" borderId="0" applyNumberFormat="0" applyFill="0" applyBorder="0" applyAlignment="0" applyProtection="0">
      <alignment vertical="top"/>
      <protection locked="0"/>
    </xf>
    <xf numFmtId="0" fontId="21" fillId="10" borderId="2" applyNumberFormat="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0" fontId="22" fillId="0" borderId="7" applyNumberFormat="0" applyFill="0" applyAlignment="0" applyProtection="0"/>
    <xf numFmtId="0" fontId="45" fillId="45" borderId="0" applyNumberFormat="0" applyBorder="0" applyAlignment="0" applyProtection="0"/>
    <xf numFmtId="0" fontId="46" fillId="45" borderId="0" applyNumberFormat="0" applyBorder="0" applyAlignment="0" applyProtection="0"/>
    <xf numFmtId="0" fontId="23" fillId="10"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2" fillId="0" borderId="0"/>
    <xf numFmtId="0" fontId="2" fillId="0" borderId="0"/>
    <xf numFmtId="0" fontId="2" fillId="0" borderId="0"/>
    <xf numFmtId="0" fontId="27" fillId="0" borderId="0"/>
    <xf numFmtId="0" fontId="27" fillId="0" borderId="0"/>
    <xf numFmtId="0" fontId="2" fillId="0" borderId="0"/>
    <xf numFmtId="0" fontId="3" fillId="0" borderId="0"/>
    <xf numFmtId="0" fontId="3" fillId="0" borderId="0"/>
    <xf numFmtId="0" fontId="8" fillId="0" borderId="0"/>
    <xf numFmtId="0" fontId="8" fillId="0" borderId="0"/>
    <xf numFmtId="0" fontId="3" fillId="0" borderId="0"/>
    <xf numFmtId="0" fontId="8" fillId="0" borderId="0"/>
    <xf numFmtId="0" fontId="2" fillId="0" borderId="0"/>
    <xf numFmtId="0" fontId="7" fillId="0" borderId="0"/>
    <xf numFmtId="0" fontId="3" fillId="0" borderId="0"/>
    <xf numFmtId="0" fontId="3" fillId="0" borderId="0"/>
    <xf numFmtId="0" fontId="7" fillId="0" borderId="0"/>
    <xf numFmtId="0" fontId="27" fillId="0" borderId="0"/>
    <xf numFmtId="0" fontId="27" fillId="0" borderId="0"/>
    <xf numFmtId="0" fontId="7" fillId="0" borderId="0"/>
    <xf numFmtId="0" fontId="7" fillId="0" borderId="0"/>
    <xf numFmtId="0" fontId="27" fillId="0" borderId="0"/>
    <xf numFmtId="0" fontId="7" fillId="0" borderId="0"/>
    <xf numFmtId="0" fontId="27" fillId="0" borderId="0"/>
    <xf numFmtId="0" fontId="27" fillId="0" borderId="0"/>
    <xf numFmtId="0" fontId="7" fillId="0" borderId="0"/>
    <xf numFmtId="0" fontId="27"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3" fillId="8" borderId="8" applyNumberFormat="0" applyFont="0" applyAlignment="0" applyProtection="0"/>
    <xf numFmtId="0" fontId="27" fillId="46" borderId="13" applyNumberFormat="0" applyFont="0" applyAlignment="0" applyProtection="0"/>
    <xf numFmtId="0" fontId="28" fillId="46" borderId="13" applyNumberFormat="0" applyFont="0" applyAlignment="0" applyProtection="0"/>
    <xf numFmtId="0" fontId="24" fillId="16" borderId="1" applyNumberFormat="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47" fillId="47" borderId="0" applyNumberFormat="0" applyBorder="0" applyAlignment="0" applyProtection="0"/>
    <xf numFmtId="0" fontId="48" fillId="47" borderId="0" applyNumberFormat="0" applyBorder="0" applyAlignment="0" applyProtection="0"/>
    <xf numFmtId="0" fontId="3" fillId="0" borderId="0"/>
    <xf numFmtId="0" fontId="28" fillId="0" borderId="0"/>
    <xf numFmtId="0" fontId="49" fillId="0" borderId="0"/>
    <xf numFmtId="0" fontId="27" fillId="0" borderId="0"/>
    <xf numFmtId="0" fontId="27" fillId="0" borderId="0"/>
    <xf numFmtId="0" fontId="49" fillId="0" borderId="0"/>
    <xf numFmtId="0" fontId="25" fillId="0" borderId="0"/>
    <xf numFmtId="0" fontId="3" fillId="0" borderId="0"/>
    <xf numFmtId="0" fontId="28" fillId="0" borderId="0"/>
    <xf numFmtId="0" fontId="3" fillId="0" borderId="0"/>
    <xf numFmtId="0" fontId="49" fillId="0" borderId="0"/>
    <xf numFmtId="0" fontId="5" fillId="0" borderId="0">
      <alignment vertical="top"/>
    </xf>
    <xf numFmtId="0" fontId="10" fillId="0" borderId="0" applyNumberFormat="0" applyFill="0" applyBorder="0" applyAlignment="0" applyProtection="0"/>
    <xf numFmtId="0" fontId="26" fillId="0" borderId="9" applyNumberFormat="0" applyFill="0" applyAlignment="0" applyProtection="0"/>
    <xf numFmtId="0" fontId="50" fillId="0" borderId="0" applyNumberFormat="0" applyFill="0" applyBorder="0" applyAlignment="0" applyProtection="0"/>
    <xf numFmtId="0" fontId="51" fillId="0" borderId="14" applyNumberFormat="0" applyFill="0" applyAlignment="0" applyProtection="0"/>
    <xf numFmtId="0" fontId="52" fillId="0" borderId="14" applyNumberFormat="0" applyFill="0" applyAlignment="0" applyProtection="0"/>
    <xf numFmtId="0" fontId="53" fillId="0" borderId="15" applyNumberFormat="0" applyFill="0" applyAlignment="0" applyProtection="0"/>
    <xf numFmtId="0" fontId="54" fillId="0" borderId="15" applyNumberFormat="0" applyFill="0" applyAlignment="0" applyProtection="0"/>
    <xf numFmtId="0" fontId="55" fillId="0" borderId="16" applyNumberFormat="0" applyFill="0" applyAlignment="0" applyProtection="0"/>
    <xf numFmtId="0" fontId="56" fillId="0" borderId="16"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17" applyNumberFormat="0" applyFill="0" applyAlignment="0" applyProtection="0"/>
    <xf numFmtId="0" fontId="59" fillId="0" borderId="17"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22" fillId="0" borderId="0" applyNumberFormat="0" applyFill="0" applyBorder="0" applyAlignment="0" applyProtection="0"/>
    <xf numFmtId="0" fontId="62" fillId="48" borderId="18" applyNumberFormat="0" applyAlignment="0" applyProtection="0"/>
    <xf numFmtId="0" fontId="63" fillId="48" borderId="18" applyNumberFormat="0" applyAlignment="0" applyProtection="0"/>
    <xf numFmtId="0" fontId="1" fillId="0" borderId="0"/>
    <xf numFmtId="0" fontId="1" fillId="46" borderId="13" applyNumberFormat="0" applyFont="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cellStyleXfs>
  <cellXfs count="48">
    <xf numFmtId="0" fontId="0" fillId="0" borderId="0" xfId="0"/>
    <xf numFmtId="0" fontId="64" fillId="0" borderId="0" xfId="0" applyFont="1"/>
    <xf numFmtId="0" fontId="65" fillId="0" borderId="0" xfId="0" applyFont="1" applyAlignment="1">
      <alignment horizontal="right"/>
    </xf>
    <xf numFmtId="0" fontId="65" fillId="0" borderId="0" xfId="0" applyFont="1"/>
    <xf numFmtId="0" fontId="66" fillId="0" borderId="0" xfId="0" applyFont="1"/>
    <xf numFmtId="0" fontId="66" fillId="0" borderId="0" xfId="0" applyFont="1" applyAlignment="1">
      <alignment horizontal="right"/>
    </xf>
    <xf numFmtId="0" fontId="65" fillId="0" borderId="0" xfId="0" applyFont="1" applyAlignment="1">
      <alignment horizontal="left" indent="2"/>
    </xf>
    <xf numFmtId="49" fontId="67" fillId="0" borderId="0" xfId="96" applyNumberFormat="1" applyFont="1" applyAlignment="1" applyProtection="1">
      <alignment horizontal="right"/>
    </xf>
    <xf numFmtId="49" fontId="65" fillId="0" borderId="0" xfId="0" applyNumberFormat="1" applyFont="1" applyAlignment="1">
      <alignment horizontal="right"/>
    </xf>
    <xf numFmtId="0" fontId="67" fillId="0" borderId="0" xfId="96" applyFont="1" applyAlignment="1" applyProtection="1">
      <alignment horizontal="right"/>
    </xf>
    <xf numFmtId="49" fontId="67" fillId="0" borderId="0" xfId="96" applyNumberFormat="1" applyFont="1" applyFill="1" applyAlignment="1" applyProtection="1">
      <alignment horizontal="right"/>
    </xf>
    <xf numFmtId="0" fontId="65" fillId="0" borderId="0" xfId="0" applyFont="1" applyAlignment="1">
      <alignment horizontal="left"/>
    </xf>
    <xf numFmtId="0" fontId="66" fillId="0" borderId="0" xfId="0" applyFont="1" applyAlignment="1">
      <alignment horizontal="left"/>
    </xf>
    <xf numFmtId="0" fontId="66" fillId="0" borderId="0" xfId="0" applyFont="1" applyAlignment="1">
      <alignment wrapText="1"/>
    </xf>
    <xf numFmtId="0" fontId="65" fillId="0" borderId="0" xfId="0" applyFont="1" applyFill="1" applyAlignment="1">
      <alignment vertical="center" wrapText="1"/>
    </xf>
    <xf numFmtId="0" fontId="65" fillId="0" borderId="0" xfId="0" applyFont="1" applyAlignment="1">
      <alignment vertical="center" wrapText="1"/>
    </xf>
    <xf numFmtId="0" fontId="65" fillId="0" borderId="0" xfId="0" applyFont="1" applyFill="1" applyAlignment="1">
      <alignment horizontal="left" vertical="center" wrapText="1"/>
    </xf>
    <xf numFmtId="0" fontId="65" fillId="0" borderId="0" xfId="0" applyFont="1" applyAlignment="1">
      <alignment horizontal="left" vertical="center" wrapText="1"/>
    </xf>
    <xf numFmtId="0" fontId="65" fillId="0" borderId="0" xfId="0" applyFont="1" applyFill="1" applyAlignment="1">
      <alignment horizontal="left" vertical="top" wrapText="1"/>
    </xf>
    <xf numFmtId="0" fontId="65" fillId="0" borderId="0" xfId="0" applyFont="1" applyAlignment="1">
      <alignment horizontal="left" vertical="top" wrapText="1"/>
    </xf>
    <xf numFmtId="0" fontId="66" fillId="0" borderId="0" xfId="0" applyFont="1" applyBorder="1"/>
    <xf numFmtId="0" fontId="65" fillId="0" borderId="0" xfId="0" applyFont="1" applyAlignment="1">
      <alignment horizontal="left" vertical="top" wrapText="1"/>
    </xf>
    <xf numFmtId="0" fontId="70" fillId="0" borderId="0" xfId="0" applyFont="1"/>
    <xf numFmtId="0" fontId="71" fillId="0" borderId="0" xfId="0" applyFont="1"/>
    <xf numFmtId="0" fontId="66" fillId="0" borderId="19" xfId="0" applyFont="1" applyBorder="1"/>
    <xf numFmtId="174" fontId="65" fillId="0" borderId="0" xfId="0" applyNumberFormat="1" applyFont="1"/>
    <xf numFmtId="170" fontId="65" fillId="0" borderId="0" xfId="0" applyNumberFormat="1" applyFont="1" applyAlignment="1">
      <alignment horizontal="right"/>
    </xf>
    <xf numFmtId="0" fontId="65" fillId="0" borderId="0" xfId="0" applyFont="1" applyAlignment="1">
      <alignment horizontal="left" vertical="top"/>
    </xf>
    <xf numFmtId="0" fontId="65" fillId="0" borderId="0" xfId="0" applyFont="1" applyAlignment="1"/>
    <xf numFmtId="0" fontId="71" fillId="0" borderId="0" xfId="0" applyFont="1" applyAlignment="1">
      <alignment horizontal="left"/>
    </xf>
    <xf numFmtId="174" fontId="65" fillId="0" borderId="0" xfId="0" applyNumberFormat="1" applyFont="1" applyAlignment="1">
      <alignment horizontal="right"/>
    </xf>
    <xf numFmtId="176" fontId="65" fillId="0" borderId="0" xfId="0" applyNumberFormat="1" applyFont="1" applyAlignment="1">
      <alignment horizontal="right"/>
    </xf>
    <xf numFmtId="174" fontId="66" fillId="0" borderId="19" xfId="0" applyNumberFormat="1" applyFont="1" applyBorder="1" applyAlignment="1">
      <alignment horizontal="right"/>
    </xf>
    <xf numFmtId="174" fontId="65" fillId="0" borderId="0" xfId="0" applyNumberFormat="1" applyFont="1" applyAlignment="1">
      <alignment horizontal="left"/>
    </xf>
    <xf numFmtId="174" fontId="71" fillId="0" borderId="0" xfId="0" applyNumberFormat="1" applyFont="1" applyAlignment="1">
      <alignment horizontal="right"/>
    </xf>
    <xf numFmtId="0" fontId="66" fillId="0" borderId="19" xfId="0" applyFont="1" applyBorder="1" applyAlignment="1">
      <alignment horizontal="left"/>
    </xf>
    <xf numFmtId="170" fontId="65" fillId="0" borderId="0" xfId="0" applyNumberFormat="1" applyFont="1"/>
    <xf numFmtId="37" fontId="66" fillId="0" borderId="19" xfId="0" applyNumberFormat="1" applyFont="1" applyBorder="1"/>
    <xf numFmtId="173" fontId="65" fillId="0" borderId="0" xfId="0" applyNumberFormat="1" applyFont="1"/>
    <xf numFmtId="173" fontId="66" fillId="0" borderId="19" xfId="0" applyNumberFormat="1" applyFont="1" applyBorder="1"/>
    <xf numFmtId="0" fontId="67" fillId="0" borderId="0" xfId="96" applyFont="1" applyAlignment="1" applyProtection="1"/>
    <xf numFmtId="14" fontId="65" fillId="0" borderId="0" xfId="0" applyNumberFormat="1" applyFont="1" applyAlignment="1">
      <alignment horizontal="left"/>
    </xf>
    <xf numFmtId="0" fontId="70" fillId="0" borderId="0" xfId="0" applyFont="1" applyAlignment="1">
      <alignment horizontal="right"/>
    </xf>
    <xf numFmtId="0" fontId="69" fillId="49" borderId="0" xfId="0" applyFont="1" applyFill="1"/>
    <xf numFmtId="0" fontId="68" fillId="49" borderId="0" xfId="0" applyFont="1" applyFill="1" applyAlignment="1">
      <alignment horizontal="right"/>
    </xf>
    <xf numFmtId="49" fontId="68" fillId="49" borderId="0" xfId="0" applyNumberFormat="1" applyFont="1" applyFill="1" applyAlignment="1">
      <alignment horizontal="right"/>
    </xf>
    <xf numFmtId="0" fontId="65" fillId="50" borderId="0" xfId="0" applyFont="1" applyFill="1" applyAlignment="1">
      <alignment horizontal="left" indent="1"/>
    </xf>
    <xf numFmtId="49" fontId="65" fillId="50" borderId="0" xfId="0" applyNumberFormat="1" applyFont="1" applyFill="1" applyAlignment="1">
      <alignment horizontal="right"/>
    </xf>
  </cellXfs>
  <cellStyles count="243">
    <cellStyle name="20 % - Akzent1" xfId="1" builtinId="30" customBuiltin="1"/>
    <cellStyle name="20 % - Akzent1 2" xfId="2" xr:uid="{00000000-0005-0000-0000-000001000000}"/>
    <cellStyle name="20 % - Akzent1 3" xfId="231" xr:uid="{00000000-0005-0000-0000-000002000000}"/>
    <cellStyle name="20 % - Akzent2" xfId="3" builtinId="34" customBuiltin="1"/>
    <cellStyle name="20 % - Akzent2 2" xfId="4" xr:uid="{00000000-0005-0000-0000-000004000000}"/>
    <cellStyle name="20 % - Akzent2 3" xfId="233" xr:uid="{00000000-0005-0000-0000-000005000000}"/>
    <cellStyle name="20 % - Akzent3" xfId="5" builtinId="38" customBuiltin="1"/>
    <cellStyle name="20 % - Akzent3 2" xfId="6" xr:uid="{00000000-0005-0000-0000-000007000000}"/>
    <cellStyle name="20 % - Akzent3 3" xfId="235" xr:uid="{00000000-0005-0000-0000-000008000000}"/>
    <cellStyle name="20 % - Akzent4" xfId="7" builtinId="42" customBuiltin="1"/>
    <cellStyle name="20 % - Akzent4 2" xfId="8" xr:uid="{00000000-0005-0000-0000-00000A000000}"/>
    <cellStyle name="20 % - Akzent4 3" xfId="237" xr:uid="{00000000-0005-0000-0000-00000B000000}"/>
    <cellStyle name="20 % - Akzent5" xfId="9" builtinId="46" customBuiltin="1"/>
    <cellStyle name="20 % - Akzent5 2" xfId="10" xr:uid="{00000000-0005-0000-0000-00000D000000}"/>
    <cellStyle name="20 % - Akzent5 3" xfId="239" xr:uid="{00000000-0005-0000-0000-00000E000000}"/>
    <cellStyle name="20 % - Akzent6" xfId="11" builtinId="50" customBuiltin="1"/>
    <cellStyle name="20 % - Akzent6 2" xfId="12" xr:uid="{00000000-0005-0000-0000-000010000000}"/>
    <cellStyle name="20 % - Akzent6 3" xfId="241" xr:uid="{00000000-0005-0000-0000-000011000000}"/>
    <cellStyle name="20% - Accent1" xfId="13" xr:uid="{00000000-0005-0000-0000-000012000000}"/>
    <cellStyle name="20% - Accent2" xfId="14" xr:uid="{00000000-0005-0000-0000-000013000000}"/>
    <cellStyle name="20% - Accent3" xfId="15" xr:uid="{00000000-0005-0000-0000-000014000000}"/>
    <cellStyle name="20% - Accent4" xfId="16" xr:uid="{00000000-0005-0000-0000-000015000000}"/>
    <cellStyle name="20% - Accent5" xfId="17" xr:uid="{00000000-0005-0000-0000-000016000000}"/>
    <cellStyle name="20% - Accent6" xfId="18" xr:uid="{00000000-0005-0000-0000-000017000000}"/>
    <cellStyle name="40 % - Akzent1" xfId="19" builtinId="31" customBuiltin="1"/>
    <cellStyle name="40 % - Akzent1 2" xfId="20" xr:uid="{00000000-0005-0000-0000-000019000000}"/>
    <cellStyle name="40 % - Akzent1 3" xfId="232" xr:uid="{00000000-0005-0000-0000-00001A000000}"/>
    <cellStyle name="40 % - Akzent2" xfId="21" builtinId="35" customBuiltin="1"/>
    <cellStyle name="40 % - Akzent2 2" xfId="22" xr:uid="{00000000-0005-0000-0000-00001C000000}"/>
    <cellStyle name="40 % - Akzent2 3" xfId="234" xr:uid="{00000000-0005-0000-0000-00001D000000}"/>
    <cellStyle name="40 % - Akzent3" xfId="23" builtinId="39" customBuiltin="1"/>
    <cellStyle name="40 % - Akzent3 2" xfId="24" xr:uid="{00000000-0005-0000-0000-00001F000000}"/>
    <cellStyle name="40 % - Akzent3 3" xfId="236" xr:uid="{00000000-0005-0000-0000-000020000000}"/>
    <cellStyle name="40 % - Akzent4" xfId="25" builtinId="43" customBuiltin="1"/>
    <cellStyle name="40 % - Akzent4 2" xfId="26" xr:uid="{00000000-0005-0000-0000-000022000000}"/>
    <cellStyle name="40 % - Akzent4 3" xfId="238" xr:uid="{00000000-0005-0000-0000-000023000000}"/>
    <cellStyle name="40 % - Akzent5" xfId="27" builtinId="47" customBuiltin="1"/>
    <cellStyle name="40 % - Akzent5 2" xfId="28" xr:uid="{00000000-0005-0000-0000-000025000000}"/>
    <cellStyle name="40 % - Akzent5 3" xfId="240" xr:uid="{00000000-0005-0000-0000-000026000000}"/>
    <cellStyle name="40 % - Akzent6" xfId="29" builtinId="51" customBuiltin="1"/>
    <cellStyle name="40 % - Akzent6 2" xfId="30" xr:uid="{00000000-0005-0000-0000-000028000000}"/>
    <cellStyle name="40 % - Akzent6 3" xfId="242" xr:uid="{00000000-0005-0000-0000-000029000000}"/>
    <cellStyle name="40% - Accent1" xfId="31" xr:uid="{00000000-0005-0000-0000-00002A000000}"/>
    <cellStyle name="40% - Accent2" xfId="32" xr:uid="{00000000-0005-0000-0000-00002B000000}"/>
    <cellStyle name="40% - Accent3" xfId="33" xr:uid="{00000000-0005-0000-0000-00002C000000}"/>
    <cellStyle name="40% - Accent4" xfId="34" xr:uid="{00000000-0005-0000-0000-00002D000000}"/>
    <cellStyle name="40% - Accent5" xfId="35" xr:uid="{00000000-0005-0000-0000-00002E000000}"/>
    <cellStyle name="40% - Accent6" xfId="36" xr:uid="{00000000-0005-0000-0000-00002F000000}"/>
    <cellStyle name="60 % - Akzent1" xfId="37" builtinId="32" customBuiltin="1"/>
    <cellStyle name="60 % - Akzent1 2" xfId="38" xr:uid="{00000000-0005-0000-0000-000031000000}"/>
    <cellStyle name="60 % - Akzent2" xfId="39" builtinId="36" customBuiltin="1"/>
    <cellStyle name="60 % - Akzent2 2" xfId="40" xr:uid="{00000000-0005-0000-0000-000033000000}"/>
    <cellStyle name="60 % - Akzent3" xfId="41" builtinId="40" customBuiltin="1"/>
    <cellStyle name="60 % - Akzent3 2" xfId="42" xr:uid="{00000000-0005-0000-0000-000035000000}"/>
    <cellStyle name="60 % - Akzent4" xfId="43" builtinId="44" customBuiltin="1"/>
    <cellStyle name="60 % - Akzent4 2" xfId="44" xr:uid="{00000000-0005-0000-0000-000037000000}"/>
    <cellStyle name="60 % - Akzent5" xfId="45" builtinId="48" customBuiltin="1"/>
    <cellStyle name="60 % - Akzent5 2" xfId="46" xr:uid="{00000000-0005-0000-0000-000039000000}"/>
    <cellStyle name="60 % - Akzent6" xfId="47" builtinId="52" customBuiltin="1"/>
    <cellStyle name="60 % - Akzent6 2" xfId="48" xr:uid="{00000000-0005-0000-0000-00003B000000}"/>
    <cellStyle name="60% - Accent1" xfId="49" xr:uid="{00000000-0005-0000-0000-00003C000000}"/>
    <cellStyle name="60% - Accent2" xfId="50" xr:uid="{00000000-0005-0000-0000-00003D000000}"/>
    <cellStyle name="60% - Accent3" xfId="51" xr:uid="{00000000-0005-0000-0000-00003E000000}"/>
    <cellStyle name="60% - Accent4" xfId="52" xr:uid="{00000000-0005-0000-0000-00003F000000}"/>
    <cellStyle name="60% - Accent5" xfId="53" xr:uid="{00000000-0005-0000-0000-000040000000}"/>
    <cellStyle name="60% - Accent6" xfId="54" xr:uid="{00000000-0005-0000-0000-000041000000}"/>
    <cellStyle name="Accent1" xfId="55" xr:uid="{00000000-0005-0000-0000-000042000000}"/>
    <cellStyle name="Accent2" xfId="56" xr:uid="{00000000-0005-0000-0000-000043000000}"/>
    <cellStyle name="Accent3" xfId="57" xr:uid="{00000000-0005-0000-0000-000044000000}"/>
    <cellStyle name="Accent4" xfId="58" xr:uid="{00000000-0005-0000-0000-000045000000}"/>
    <cellStyle name="Accent5" xfId="59" xr:uid="{00000000-0005-0000-0000-000046000000}"/>
    <cellStyle name="Accent6" xfId="60" xr:uid="{00000000-0005-0000-0000-000047000000}"/>
    <cellStyle name="Akzent1" xfId="61" builtinId="29" customBuiltin="1"/>
    <cellStyle name="Akzent1 2" xfId="62" xr:uid="{00000000-0005-0000-0000-000049000000}"/>
    <cellStyle name="Akzent2" xfId="63" builtinId="33" customBuiltin="1"/>
    <cellStyle name="Akzent2 2" xfId="64" xr:uid="{00000000-0005-0000-0000-00004B000000}"/>
    <cellStyle name="Akzent3" xfId="65" builtinId="37" customBuiltin="1"/>
    <cellStyle name="Akzent3 2" xfId="66" xr:uid="{00000000-0005-0000-0000-00004D000000}"/>
    <cellStyle name="Akzent4" xfId="67" builtinId="41" customBuiltin="1"/>
    <cellStyle name="Akzent4 2" xfId="68" xr:uid="{00000000-0005-0000-0000-00004F000000}"/>
    <cellStyle name="Akzent5" xfId="69" builtinId="45" customBuiltin="1"/>
    <cellStyle name="Akzent5 2" xfId="70" xr:uid="{00000000-0005-0000-0000-000051000000}"/>
    <cellStyle name="Akzent6" xfId="71" builtinId="49" customBuiltin="1"/>
    <cellStyle name="Akzent6 2" xfId="72" xr:uid="{00000000-0005-0000-0000-000053000000}"/>
    <cellStyle name="Ausgabe" xfId="73" builtinId="21" customBuiltin="1"/>
    <cellStyle name="Ausgabe 2" xfId="74" xr:uid="{00000000-0005-0000-0000-000055000000}"/>
    <cellStyle name="Bad" xfId="75" xr:uid="{00000000-0005-0000-0000-000056000000}"/>
    <cellStyle name="Berechnung" xfId="76" builtinId="22" customBuiltin="1"/>
    <cellStyle name="Berechnung 2" xfId="77" xr:uid="{00000000-0005-0000-0000-000058000000}"/>
    <cellStyle name="Besuchter Hyperlink 2" xfId="78" xr:uid="{00000000-0005-0000-0000-000059000000}"/>
    <cellStyle name="Calculation" xfId="79" xr:uid="{00000000-0005-0000-0000-00005A000000}"/>
    <cellStyle name="Check Cell" xfId="80" xr:uid="{00000000-0005-0000-0000-00005B000000}"/>
    <cellStyle name="Dezimal [0] 2" xfId="81" xr:uid="{00000000-0005-0000-0000-00005C000000}"/>
    <cellStyle name="Eingabe" xfId="82" builtinId="20" customBuiltin="1"/>
    <cellStyle name="Eingabe 2" xfId="83" xr:uid="{00000000-0005-0000-0000-00005E000000}"/>
    <cellStyle name="Ergebnis" xfId="84" builtinId="25" customBuiltin="1"/>
    <cellStyle name="Ergebnis 2" xfId="85" xr:uid="{00000000-0005-0000-0000-000060000000}"/>
    <cellStyle name="Erklärender Text" xfId="86" builtinId="53" customBuiltin="1"/>
    <cellStyle name="Erklärender Text 2" xfId="87" xr:uid="{00000000-0005-0000-0000-000062000000}"/>
    <cellStyle name="Explanatory Text" xfId="88" xr:uid="{00000000-0005-0000-0000-000063000000}"/>
    <cellStyle name="Good" xfId="89" xr:uid="{00000000-0005-0000-0000-000064000000}"/>
    <cellStyle name="Gut" xfId="90" builtinId="26" customBuiltin="1"/>
    <cellStyle name="Gut 2" xfId="91" xr:uid="{00000000-0005-0000-0000-000066000000}"/>
    <cellStyle name="Heading 1" xfId="92" xr:uid="{00000000-0005-0000-0000-000067000000}"/>
    <cellStyle name="Heading 2" xfId="93" xr:uid="{00000000-0005-0000-0000-000068000000}"/>
    <cellStyle name="Heading 3" xfId="94" xr:uid="{00000000-0005-0000-0000-000069000000}"/>
    <cellStyle name="Heading 4" xfId="95" xr:uid="{00000000-0005-0000-0000-00006A000000}"/>
    <cellStyle name="Hyperlink 2" xfId="97" xr:uid="{00000000-0005-0000-0000-00006C000000}"/>
    <cellStyle name="Hyperlink 2 2" xfId="98" xr:uid="{00000000-0005-0000-0000-00006D000000}"/>
    <cellStyle name="Input" xfId="99" xr:uid="{00000000-0005-0000-0000-00006E000000}"/>
    <cellStyle name="Komma 2" xfId="100" xr:uid="{00000000-0005-0000-0000-000070000000}"/>
    <cellStyle name="Komma 2 2" xfId="101" xr:uid="{00000000-0005-0000-0000-000071000000}"/>
    <cellStyle name="Komma 2 2 2" xfId="102" xr:uid="{00000000-0005-0000-0000-000072000000}"/>
    <cellStyle name="Komma 2 3" xfId="103" xr:uid="{00000000-0005-0000-0000-000073000000}"/>
    <cellStyle name="Komma 2 3 2" xfId="104" xr:uid="{00000000-0005-0000-0000-000074000000}"/>
    <cellStyle name="Komma 3" xfId="105" xr:uid="{00000000-0005-0000-0000-000075000000}"/>
    <cellStyle name="Komma 3 2" xfId="106" xr:uid="{00000000-0005-0000-0000-000076000000}"/>
    <cellStyle name="Komma 4" xfId="107" xr:uid="{00000000-0005-0000-0000-000077000000}"/>
    <cellStyle name="Link" xfId="96" builtinId="8"/>
    <cellStyle name="Linked Cell" xfId="108" xr:uid="{00000000-0005-0000-0000-000078000000}"/>
    <cellStyle name="Neutral" xfId="109" builtinId="28" customBuiltin="1"/>
    <cellStyle name="Neutral 2" xfId="110" xr:uid="{00000000-0005-0000-0000-00007A000000}"/>
    <cellStyle name="Neutral 2 2" xfId="111" xr:uid="{00000000-0005-0000-0000-00007B000000}"/>
    <cellStyle name="Normal 10" xfId="112" xr:uid="{00000000-0005-0000-0000-00007C000000}"/>
    <cellStyle name="Normal 10 2" xfId="113" xr:uid="{00000000-0005-0000-0000-00007D000000}"/>
    <cellStyle name="Normal 10 2 2" xfId="114" xr:uid="{00000000-0005-0000-0000-00007E000000}"/>
    <cellStyle name="Normal 10 2 2 2" xfId="115" xr:uid="{00000000-0005-0000-0000-00007F000000}"/>
    <cellStyle name="Normal 10 2 3" xfId="116" xr:uid="{00000000-0005-0000-0000-000080000000}"/>
    <cellStyle name="Normal 10 3" xfId="117" xr:uid="{00000000-0005-0000-0000-000081000000}"/>
    <cellStyle name="Normal 10 3 2" xfId="118" xr:uid="{00000000-0005-0000-0000-000082000000}"/>
    <cellStyle name="Normal 10 4" xfId="119" xr:uid="{00000000-0005-0000-0000-000083000000}"/>
    <cellStyle name="Normal 11" xfId="120" xr:uid="{00000000-0005-0000-0000-000084000000}"/>
    <cellStyle name="Normal 11 2" xfId="121" xr:uid="{00000000-0005-0000-0000-000085000000}"/>
    <cellStyle name="Normal 12" xfId="122" xr:uid="{00000000-0005-0000-0000-000086000000}"/>
    <cellStyle name="Normal 12 2" xfId="123" xr:uid="{00000000-0005-0000-0000-000087000000}"/>
    <cellStyle name="Normal 13" xfId="124" xr:uid="{00000000-0005-0000-0000-000088000000}"/>
    <cellStyle name="Normal 14" xfId="125" xr:uid="{00000000-0005-0000-0000-000089000000}"/>
    <cellStyle name="Normal 15" xfId="126" xr:uid="{00000000-0005-0000-0000-00008A000000}"/>
    <cellStyle name="Normal 16" xfId="127" xr:uid="{00000000-0005-0000-0000-00008B000000}"/>
    <cellStyle name="Normal 17" xfId="128" xr:uid="{00000000-0005-0000-0000-00008C000000}"/>
    <cellStyle name="Normal 18" xfId="129" xr:uid="{00000000-0005-0000-0000-00008D000000}"/>
    <cellStyle name="Normal 2" xfId="130" xr:uid="{00000000-0005-0000-0000-00008E000000}"/>
    <cellStyle name="Normal 2 2" xfId="131" xr:uid="{00000000-0005-0000-0000-00008F000000}"/>
    <cellStyle name="Normal 2 3" xfId="132" xr:uid="{00000000-0005-0000-0000-000090000000}"/>
    <cellStyle name="Normal 2 4" xfId="133" xr:uid="{00000000-0005-0000-0000-000091000000}"/>
    <cellStyle name="Normal 2_STO" xfId="134" xr:uid="{00000000-0005-0000-0000-000092000000}"/>
    <cellStyle name="Normal 3" xfId="135" xr:uid="{00000000-0005-0000-0000-000093000000}"/>
    <cellStyle name="Normal 3 2" xfId="136" xr:uid="{00000000-0005-0000-0000-000094000000}"/>
    <cellStyle name="Normal 3 2 2" xfId="137" xr:uid="{00000000-0005-0000-0000-000095000000}"/>
    <cellStyle name="Normal 3 3" xfId="138" xr:uid="{00000000-0005-0000-0000-000096000000}"/>
    <cellStyle name="Normal 3 3 2" xfId="139" xr:uid="{00000000-0005-0000-0000-000097000000}"/>
    <cellStyle name="Normal 3 4" xfId="140" xr:uid="{00000000-0005-0000-0000-000098000000}"/>
    <cellStyle name="Normal 4" xfId="141" xr:uid="{00000000-0005-0000-0000-000099000000}"/>
    <cellStyle name="Normal 4 2" xfId="142" xr:uid="{00000000-0005-0000-0000-00009A000000}"/>
    <cellStyle name="Normal 4 2 2" xfId="143" xr:uid="{00000000-0005-0000-0000-00009B000000}"/>
    <cellStyle name="Normal 4 3" xfId="144" xr:uid="{00000000-0005-0000-0000-00009C000000}"/>
    <cellStyle name="Normal 4 3 2" xfId="145" xr:uid="{00000000-0005-0000-0000-00009D000000}"/>
    <cellStyle name="Normal 4 4" xfId="146" xr:uid="{00000000-0005-0000-0000-00009E000000}"/>
    <cellStyle name="Normal 5" xfId="147" xr:uid="{00000000-0005-0000-0000-00009F000000}"/>
    <cellStyle name="Normal 5 2" xfId="148" xr:uid="{00000000-0005-0000-0000-0000A0000000}"/>
    <cellStyle name="Normal 6" xfId="149" xr:uid="{00000000-0005-0000-0000-0000A1000000}"/>
    <cellStyle name="Normal 6 2" xfId="150" xr:uid="{00000000-0005-0000-0000-0000A2000000}"/>
    <cellStyle name="Normal 7" xfId="151" xr:uid="{00000000-0005-0000-0000-0000A3000000}"/>
    <cellStyle name="Normal 7 2" xfId="152" xr:uid="{00000000-0005-0000-0000-0000A4000000}"/>
    <cellStyle name="Normal 7 2 2" xfId="153" xr:uid="{00000000-0005-0000-0000-0000A5000000}"/>
    <cellStyle name="Normal 7 2 2 2" xfId="154" xr:uid="{00000000-0005-0000-0000-0000A6000000}"/>
    <cellStyle name="Normal 7 2 3" xfId="155" xr:uid="{00000000-0005-0000-0000-0000A7000000}"/>
    <cellStyle name="Normal 7 3" xfId="156" xr:uid="{00000000-0005-0000-0000-0000A8000000}"/>
    <cellStyle name="Normal 7 3 2" xfId="157" xr:uid="{00000000-0005-0000-0000-0000A9000000}"/>
    <cellStyle name="Normal 7 4" xfId="158" xr:uid="{00000000-0005-0000-0000-0000AA000000}"/>
    <cellStyle name="Normal 7 5" xfId="159" xr:uid="{00000000-0005-0000-0000-0000AB000000}"/>
    <cellStyle name="Normal 8" xfId="160" xr:uid="{00000000-0005-0000-0000-0000AC000000}"/>
    <cellStyle name="Normal 8 2" xfId="161" xr:uid="{00000000-0005-0000-0000-0000AD000000}"/>
    <cellStyle name="Normal 8 2 2" xfId="162" xr:uid="{00000000-0005-0000-0000-0000AE000000}"/>
    <cellStyle name="Normal 8 2 2 2" xfId="163" xr:uid="{00000000-0005-0000-0000-0000AF000000}"/>
    <cellStyle name="Normal 8 2 3" xfId="164" xr:uid="{00000000-0005-0000-0000-0000B0000000}"/>
    <cellStyle name="Normal 8 3" xfId="165" xr:uid="{00000000-0005-0000-0000-0000B1000000}"/>
    <cellStyle name="Normal 8 3 2" xfId="166" xr:uid="{00000000-0005-0000-0000-0000B2000000}"/>
    <cellStyle name="Normal 8 4" xfId="167" xr:uid="{00000000-0005-0000-0000-0000B3000000}"/>
    <cellStyle name="Normal 9" xfId="168" xr:uid="{00000000-0005-0000-0000-0000B4000000}"/>
    <cellStyle name="Normal 9 2" xfId="169" xr:uid="{00000000-0005-0000-0000-0000B5000000}"/>
    <cellStyle name="Normal 9 2 2" xfId="170" xr:uid="{00000000-0005-0000-0000-0000B6000000}"/>
    <cellStyle name="Normal 9 2 2 2" xfId="171" xr:uid="{00000000-0005-0000-0000-0000B7000000}"/>
    <cellStyle name="Normal 9 2 3" xfId="172" xr:uid="{00000000-0005-0000-0000-0000B8000000}"/>
    <cellStyle name="Normal 9 3" xfId="173" xr:uid="{00000000-0005-0000-0000-0000B9000000}"/>
    <cellStyle name="Normal 9 3 2" xfId="174" xr:uid="{00000000-0005-0000-0000-0000BA000000}"/>
    <cellStyle name="Normal 9 4" xfId="175" xr:uid="{00000000-0005-0000-0000-0000BB000000}"/>
    <cellStyle name="Normal_0212-07" xfId="176" xr:uid="{00000000-0005-0000-0000-0000BC000000}"/>
    <cellStyle name="Note" xfId="177" xr:uid="{00000000-0005-0000-0000-0000BD000000}"/>
    <cellStyle name="Notiz 2" xfId="178" xr:uid="{00000000-0005-0000-0000-0000BE000000}"/>
    <cellStyle name="Notiz 3" xfId="179" xr:uid="{00000000-0005-0000-0000-0000BF000000}"/>
    <cellStyle name="Notiz 4" xfId="230" xr:uid="{00000000-0005-0000-0000-0000C0000000}"/>
    <cellStyle name="Output" xfId="180" xr:uid="{00000000-0005-0000-0000-0000C1000000}"/>
    <cellStyle name="Prozent 2" xfId="181" xr:uid="{00000000-0005-0000-0000-0000C3000000}"/>
    <cellStyle name="Prozent 2 2" xfId="182" xr:uid="{00000000-0005-0000-0000-0000C4000000}"/>
    <cellStyle name="Prozent 2 2 2" xfId="183" xr:uid="{00000000-0005-0000-0000-0000C5000000}"/>
    <cellStyle name="Prozent 3" xfId="184" xr:uid="{00000000-0005-0000-0000-0000C6000000}"/>
    <cellStyle name="Prozent 3 2" xfId="185" xr:uid="{00000000-0005-0000-0000-0000C7000000}"/>
    <cellStyle name="Prozent 3 2 2" xfId="186" xr:uid="{00000000-0005-0000-0000-0000C8000000}"/>
    <cellStyle name="Prozent 3 3" xfId="187" xr:uid="{00000000-0005-0000-0000-0000C9000000}"/>
    <cellStyle name="Prozent 3 4" xfId="188" xr:uid="{00000000-0005-0000-0000-0000CA000000}"/>
    <cellStyle name="Prozent 3 5" xfId="189" xr:uid="{00000000-0005-0000-0000-0000CB000000}"/>
    <cellStyle name="Prozent 4" xfId="190" xr:uid="{00000000-0005-0000-0000-0000CC000000}"/>
    <cellStyle name="Prozent 4 2" xfId="191" xr:uid="{00000000-0005-0000-0000-0000CD000000}"/>
    <cellStyle name="Prozent 4 3" xfId="192" xr:uid="{00000000-0005-0000-0000-0000CE000000}"/>
    <cellStyle name="Prozent 4 4" xfId="193" xr:uid="{00000000-0005-0000-0000-0000CF000000}"/>
    <cellStyle name="Prozent 5" xfId="194" xr:uid="{00000000-0005-0000-0000-0000D0000000}"/>
    <cellStyle name="Prozent 5 2" xfId="195" xr:uid="{00000000-0005-0000-0000-0000D1000000}"/>
    <cellStyle name="Schlecht" xfId="196" builtinId="27" customBuiltin="1"/>
    <cellStyle name="Schlecht 2" xfId="197" xr:uid="{00000000-0005-0000-0000-0000D3000000}"/>
    <cellStyle name="Standard" xfId="0" builtinId="0"/>
    <cellStyle name="Standard 2" xfId="198" xr:uid="{00000000-0005-0000-0000-0000D5000000}"/>
    <cellStyle name="Standard 2 2" xfId="199" xr:uid="{00000000-0005-0000-0000-0000D6000000}"/>
    <cellStyle name="Standard 2 2 2" xfId="200" xr:uid="{00000000-0005-0000-0000-0000D7000000}"/>
    <cellStyle name="Standard 3" xfId="201" xr:uid="{00000000-0005-0000-0000-0000D8000000}"/>
    <cellStyle name="Standard 3 2" xfId="202" xr:uid="{00000000-0005-0000-0000-0000D9000000}"/>
    <cellStyle name="Standard 3 2 2" xfId="203" xr:uid="{00000000-0005-0000-0000-0000DA000000}"/>
    <cellStyle name="Standard 3 3" xfId="204" xr:uid="{00000000-0005-0000-0000-0000DB000000}"/>
    <cellStyle name="Standard 3 4" xfId="205" xr:uid="{00000000-0005-0000-0000-0000DC000000}"/>
    <cellStyle name="Standard 4" xfId="206" xr:uid="{00000000-0005-0000-0000-0000DD000000}"/>
    <cellStyle name="Standard 4 2" xfId="207" xr:uid="{00000000-0005-0000-0000-0000DE000000}"/>
    <cellStyle name="Standard 5" xfId="208" xr:uid="{00000000-0005-0000-0000-0000DF000000}"/>
    <cellStyle name="Standard 6" xfId="229" xr:uid="{00000000-0005-0000-0000-0000E0000000}"/>
    <cellStyle name="Style 1" xfId="209" xr:uid="{00000000-0005-0000-0000-0000E1000000}"/>
    <cellStyle name="Title" xfId="210" xr:uid="{00000000-0005-0000-0000-0000E2000000}"/>
    <cellStyle name="Total" xfId="211" xr:uid="{00000000-0005-0000-0000-0000E3000000}"/>
    <cellStyle name="Überschrift" xfId="212" builtinId="15" customBuiltin="1"/>
    <cellStyle name="Überschrift 1" xfId="213" builtinId="16" customBuiltin="1"/>
    <cellStyle name="Überschrift 1 2" xfId="214" xr:uid="{00000000-0005-0000-0000-0000E6000000}"/>
    <cellStyle name="Überschrift 2" xfId="215" builtinId="17" customBuiltin="1"/>
    <cellStyle name="Überschrift 2 2" xfId="216" xr:uid="{00000000-0005-0000-0000-0000E8000000}"/>
    <cellStyle name="Überschrift 3" xfId="217" builtinId="18" customBuiltin="1"/>
    <cellStyle name="Überschrift 3 2" xfId="218" xr:uid="{00000000-0005-0000-0000-0000EA000000}"/>
    <cellStyle name="Überschrift 4" xfId="219" builtinId="19" customBuiltin="1"/>
    <cellStyle name="Überschrift 4 2" xfId="220" xr:uid="{00000000-0005-0000-0000-0000EC000000}"/>
    <cellStyle name="Überschrift 5" xfId="221" xr:uid="{00000000-0005-0000-0000-0000ED000000}"/>
    <cellStyle name="Verknüpfte Zelle" xfId="222" builtinId="24" customBuiltin="1"/>
    <cellStyle name="Verknüpfte Zelle 2" xfId="223" xr:uid="{00000000-0005-0000-0000-0000EF000000}"/>
    <cellStyle name="Warnender Text" xfId="224" builtinId="11" customBuiltin="1"/>
    <cellStyle name="Warnender Text 2" xfId="225" xr:uid="{00000000-0005-0000-0000-0000F1000000}"/>
    <cellStyle name="Warning Text" xfId="226" xr:uid="{00000000-0005-0000-0000-0000F2000000}"/>
    <cellStyle name="Zelle überprüfen" xfId="227" builtinId="23" customBuiltin="1"/>
    <cellStyle name="Zelle überprüfen 2" xfId="228" xr:uid="{00000000-0005-0000-0000-0000F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1A507-2647-46DF-858E-DACB3C845174}">
  <dimension ref="A1:B14"/>
  <sheetViews>
    <sheetView workbookViewId="0">
      <selection activeCell="A2" sqref="A2"/>
    </sheetView>
  </sheetViews>
  <sheetFormatPr baseColWidth="10" defaultRowHeight="12.75"/>
  <cols>
    <col min="1" max="1" width="20.7109375" style="3" customWidth="1"/>
    <col min="2" max="2" width="32.42578125" style="3" customWidth="1"/>
    <col min="3" max="16384" width="11.42578125" style="3"/>
  </cols>
  <sheetData>
    <row r="1" spans="1:2" ht="15.75">
      <c r="A1" s="23" t="s">
        <v>571</v>
      </c>
    </row>
    <row r="2" spans="1:2">
      <c r="A2" s="3" t="s">
        <v>552</v>
      </c>
    </row>
    <row r="4" spans="1:2">
      <c r="A4" s="3" t="s">
        <v>553</v>
      </c>
      <c r="B4" s="41">
        <v>44449</v>
      </c>
    </row>
    <row r="5" spans="1:2">
      <c r="A5" s="3" t="s">
        <v>554</v>
      </c>
      <c r="B5" s="11">
        <v>1</v>
      </c>
    </row>
    <row r="6" spans="1:2">
      <c r="A6" s="3" t="s">
        <v>555</v>
      </c>
      <c r="B6" s="11" t="s">
        <v>491</v>
      </c>
    </row>
    <row r="7" spans="1:2">
      <c r="A7" s="3" t="s">
        <v>556</v>
      </c>
      <c r="B7" s="11">
        <v>2020</v>
      </c>
    </row>
    <row r="8" spans="1:2">
      <c r="A8" s="3" t="s">
        <v>557</v>
      </c>
      <c r="B8" s="11" t="s">
        <v>558</v>
      </c>
    </row>
    <row r="9" spans="1:2">
      <c r="A9" s="3" t="s">
        <v>559</v>
      </c>
      <c r="B9" s="11" t="s">
        <v>560</v>
      </c>
    </row>
    <row r="10" spans="1:2">
      <c r="A10" s="3" t="s">
        <v>561</v>
      </c>
      <c r="B10" s="11" t="s">
        <v>569</v>
      </c>
    </row>
    <row r="11" spans="1:2">
      <c r="A11" s="3" t="s">
        <v>562</v>
      </c>
      <c r="B11" s="11" t="s">
        <v>563</v>
      </c>
    </row>
    <row r="12" spans="1:2">
      <c r="A12" s="3" t="s">
        <v>564</v>
      </c>
      <c r="B12" s="11" t="s">
        <v>565</v>
      </c>
    </row>
    <row r="13" spans="1:2">
      <c r="A13" s="3" t="s">
        <v>566</v>
      </c>
      <c r="B13" s="11" t="s">
        <v>567</v>
      </c>
    </row>
    <row r="14" spans="1:2">
      <c r="A14" s="3" t="s">
        <v>568</v>
      </c>
      <c r="B14" s="11" t="s">
        <v>570</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3"/>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311</v>
      </c>
    </row>
    <row r="2" spans="1:4">
      <c r="A2" s="3" t="s">
        <v>246</v>
      </c>
    </row>
    <row r="4" spans="1:4">
      <c r="A4" s="40" t="s">
        <v>551</v>
      </c>
    </row>
    <row r="6" spans="1:4">
      <c r="A6" s="3" t="s">
        <v>507</v>
      </c>
    </row>
    <row r="8" spans="1:4">
      <c r="A8" s="24"/>
      <c r="B8" s="24" t="s">
        <v>467</v>
      </c>
      <c r="C8" s="24" t="s">
        <v>481</v>
      </c>
      <c r="D8" s="24" t="s">
        <v>152</v>
      </c>
    </row>
    <row r="10" spans="1:4">
      <c r="A10" s="3" t="s">
        <v>185</v>
      </c>
      <c r="B10" s="25">
        <v>4106248160</v>
      </c>
      <c r="C10" s="25">
        <v>1793602716</v>
      </c>
      <c r="D10" s="26">
        <f>C10/B10-1</f>
        <v>-0.56320157815303595</v>
      </c>
    </row>
    <row r="11" spans="1:4">
      <c r="A11" s="3" t="s">
        <v>289</v>
      </c>
      <c r="B11" s="25">
        <v>-2121786601</v>
      </c>
      <c r="C11" s="25">
        <v>-1658872852</v>
      </c>
      <c r="D11" s="26">
        <f>C11/B11-1</f>
        <v>-0.21817168078157734</v>
      </c>
    </row>
    <row r="12" spans="1:4">
      <c r="B12" s="2"/>
      <c r="C12" s="2"/>
      <c r="D12" s="2"/>
    </row>
    <row r="13" spans="1:4">
      <c r="A13" s="3" t="s">
        <v>290</v>
      </c>
      <c r="B13" s="2" t="s">
        <v>85</v>
      </c>
      <c r="C13" s="2" t="s">
        <v>85</v>
      </c>
      <c r="D13" s="2" t="s">
        <v>89</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E676931F-EBA8-4852-BDEE-3FD9C24B0C61}"/>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6"/>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312</v>
      </c>
    </row>
    <row r="2" spans="1:4">
      <c r="A2" s="3" t="s">
        <v>245</v>
      </c>
    </row>
    <row r="4" spans="1:4">
      <c r="A4" s="40" t="s">
        <v>551</v>
      </c>
    </row>
    <row r="6" spans="1:4">
      <c r="A6" s="3" t="s">
        <v>508</v>
      </c>
    </row>
    <row r="8" spans="1:4">
      <c r="A8" s="20" t="s">
        <v>468</v>
      </c>
      <c r="B8" s="24" t="s">
        <v>102</v>
      </c>
      <c r="C8" s="24"/>
      <c r="D8" s="24"/>
    </row>
    <row r="9" spans="1:4">
      <c r="A9" s="24" t="s">
        <v>119</v>
      </c>
      <c r="B9" s="24" t="s">
        <v>76</v>
      </c>
      <c r="C9" s="24" t="s">
        <v>77</v>
      </c>
      <c r="D9" s="24" t="s">
        <v>32</v>
      </c>
    </row>
    <row r="11" spans="1:4">
      <c r="A11" s="3" t="s">
        <v>74</v>
      </c>
      <c r="B11" s="26">
        <v>9.7100000000000006E-2</v>
      </c>
      <c r="C11" s="26">
        <v>1.1000000000000001E-3</v>
      </c>
      <c r="D11" s="26">
        <v>0</v>
      </c>
    </row>
    <row r="12" spans="1:4">
      <c r="A12" s="3" t="s">
        <v>353</v>
      </c>
      <c r="B12" s="26">
        <v>0.82640000000000002</v>
      </c>
      <c r="C12" s="26">
        <v>3.4700000000000002E-2</v>
      </c>
      <c r="D12" s="26">
        <v>4.6100000000000002E-2</v>
      </c>
    </row>
    <row r="13" spans="1:4">
      <c r="A13" s="3" t="s">
        <v>354</v>
      </c>
      <c r="B13" s="26">
        <v>4.9200000000000001E-2</v>
      </c>
      <c r="C13" s="26">
        <v>3.32E-2</v>
      </c>
      <c r="D13" s="26">
        <v>3.2399999999999998E-2</v>
      </c>
    </row>
    <row r="14" spans="1:4">
      <c r="A14" s="3" t="s">
        <v>355</v>
      </c>
      <c r="B14" s="26">
        <v>1.9900000000000001E-2</v>
      </c>
      <c r="C14" s="26">
        <v>5.5199999999999999E-2</v>
      </c>
      <c r="D14" s="26">
        <v>5.3499999999999999E-2</v>
      </c>
    </row>
    <row r="15" spans="1:4">
      <c r="A15" s="3" t="s">
        <v>356</v>
      </c>
      <c r="B15" s="26">
        <v>6.0000000000000001E-3</v>
      </c>
      <c r="C15" s="26">
        <v>6.9400000000000003E-2</v>
      </c>
      <c r="D15" s="26">
        <v>7.2599999999999998E-2</v>
      </c>
    </row>
    <row r="16" spans="1:4">
      <c r="A16" s="3" t="s">
        <v>357</v>
      </c>
      <c r="B16" s="26">
        <v>1.4E-3</v>
      </c>
      <c r="C16" s="26">
        <v>0.80640000000000001</v>
      </c>
      <c r="D16" s="26">
        <v>0.79530000000000001</v>
      </c>
    </row>
    <row r="17" spans="1:4">
      <c r="B17" s="26"/>
      <c r="C17" s="26"/>
      <c r="D17" s="26"/>
    </row>
    <row r="18" spans="1:4">
      <c r="A18" s="3" t="s">
        <v>75</v>
      </c>
      <c r="B18" s="26">
        <f>SUM(B11:B16)</f>
        <v>1</v>
      </c>
      <c r="C18" s="26">
        <f>SUM(C11:C16)</f>
        <v>1</v>
      </c>
      <c r="D18" s="26">
        <f>SUM(D11:D16)</f>
        <v>0.99990000000000001</v>
      </c>
    </row>
    <row r="20" spans="1:4">
      <c r="A20" s="20" t="s">
        <v>482</v>
      </c>
      <c r="B20" s="24" t="s">
        <v>102</v>
      </c>
      <c r="C20" s="24"/>
      <c r="D20" s="24"/>
    </row>
    <row r="21" spans="1:4">
      <c r="A21" s="24" t="s">
        <v>119</v>
      </c>
      <c r="B21" s="24" t="s">
        <v>76</v>
      </c>
      <c r="C21" s="24" t="s">
        <v>77</v>
      </c>
      <c r="D21" s="24" t="s">
        <v>32</v>
      </c>
    </row>
    <row r="23" spans="1:4">
      <c r="A23" s="3" t="s">
        <v>74</v>
      </c>
      <c r="B23" s="26">
        <v>0.1066</v>
      </c>
      <c r="C23" s="26">
        <v>3.5000000000000001E-3</v>
      </c>
      <c r="D23" s="26">
        <v>0</v>
      </c>
    </row>
    <row r="24" spans="1:4">
      <c r="A24" s="3" t="s">
        <v>353</v>
      </c>
      <c r="B24" s="26">
        <v>0.81159999999999999</v>
      </c>
      <c r="C24" s="26">
        <v>0.1368</v>
      </c>
      <c r="D24" s="26">
        <v>0.1099</v>
      </c>
    </row>
    <row r="25" spans="1:4">
      <c r="A25" s="3" t="s">
        <v>354</v>
      </c>
      <c r="B25" s="26">
        <v>5.3499999999999999E-2</v>
      </c>
      <c r="C25" s="26">
        <v>8.09E-2</v>
      </c>
      <c r="D25" s="26">
        <v>8.2699999999999996E-2</v>
      </c>
    </row>
    <row r="26" spans="1:4">
      <c r="A26" s="3" t="s">
        <v>355</v>
      </c>
      <c r="B26" s="26">
        <v>0.02</v>
      </c>
      <c r="C26" s="26">
        <v>0.1235</v>
      </c>
      <c r="D26" s="26">
        <v>0.1255</v>
      </c>
    </row>
    <row r="27" spans="1:4">
      <c r="A27" s="3" t="s">
        <v>356</v>
      </c>
      <c r="B27" s="26">
        <v>6.7999999999999996E-3</v>
      </c>
      <c r="C27" s="26">
        <v>0.16869999999999999</v>
      </c>
      <c r="D27" s="26">
        <v>0.17760000000000001</v>
      </c>
    </row>
    <row r="28" spans="1:4">
      <c r="A28" s="3" t="s">
        <v>357</v>
      </c>
      <c r="B28" s="26">
        <v>1.6000000000000001E-3</v>
      </c>
      <c r="C28" s="26">
        <v>0.48670000000000002</v>
      </c>
      <c r="D28" s="26">
        <v>0.50429999999999997</v>
      </c>
    </row>
    <row r="29" spans="1:4">
      <c r="B29" s="26"/>
      <c r="C29" s="26"/>
      <c r="D29" s="26"/>
    </row>
    <row r="30" spans="1:4">
      <c r="A30" s="3" t="s">
        <v>75</v>
      </c>
      <c r="B30" s="26">
        <f>SUM(B23:B28)</f>
        <v>1.0001</v>
      </c>
      <c r="C30" s="26">
        <f>SUM(C23:C28)</f>
        <v>1.0001</v>
      </c>
      <c r="D30" s="26">
        <f>SUM(D23:D28)</f>
        <v>1</v>
      </c>
    </row>
    <row r="32" spans="1:4">
      <c r="A32" s="4" t="s">
        <v>306</v>
      </c>
    </row>
    <row r="33" spans="1:4" ht="54.75" customHeight="1">
      <c r="A33" s="21" t="s">
        <v>489</v>
      </c>
      <c r="B33" s="21"/>
      <c r="C33" s="21"/>
      <c r="D33" s="21"/>
    </row>
    <row r="35" spans="1:4">
      <c r="A35" s="4" t="s">
        <v>143</v>
      </c>
    </row>
    <row r="36" spans="1:4">
      <c r="A36" s="3" t="s">
        <v>153</v>
      </c>
    </row>
  </sheetData>
  <mergeCells count="1">
    <mergeCell ref="A33:D33"/>
  </mergeCells>
  <hyperlinks>
    <hyperlink ref="A4" location="Inhalt!A1" display="&lt;&lt;&lt; Inhalt" xr:uid="{7A314D64-0792-4677-939E-A303B75FDD84}"/>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2"/>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298</v>
      </c>
    </row>
    <row r="2" spans="1:4">
      <c r="A2" s="3" t="s">
        <v>266</v>
      </c>
    </row>
    <row r="4" spans="1:4">
      <c r="A4" s="40" t="s">
        <v>551</v>
      </c>
    </row>
    <row r="6" spans="1:4">
      <c r="A6" s="3" t="s">
        <v>509</v>
      </c>
    </row>
    <row r="8" spans="1:4">
      <c r="A8" s="24"/>
      <c r="B8" s="24" t="s">
        <v>467</v>
      </c>
      <c r="C8" s="24" t="s">
        <v>481</v>
      </c>
      <c r="D8" s="24" t="s">
        <v>152</v>
      </c>
    </row>
    <row r="9" spans="1:4">
      <c r="D9" s="3" t="s">
        <v>55</v>
      </c>
    </row>
    <row r="10" spans="1:4">
      <c r="A10" s="3" t="s">
        <v>101</v>
      </c>
      <c r="B10" s="25">
        <f>B12+B15+B21+B34</f>
        <v>518142298.32000005</v>
      </c>
      <c r="C10" s="25">
        <f>C12+C15+C21+C34</f>
        <v>215191358</v>
      </c>
      <c r="D10" s="26">
        <f>C10/B10-1</f>
        <v>-0.58468675748394561</v>
      </c>
    </row>
    <row r="11" spans="1:4">
      <c r="B11" s="25"/>
      <c r="C11" s="25"/>
      <c r="D11" s="26"/>
    </row>
    <row r="12" spans="1:4">
      <c r="A12" s="3" t="s">
        <v>91</v>
      </c>
      <c r="B12" s="25">
        <f>B13</f>
        <v>57357</v>
      </c>
      <c r="C12" s="25">
        <f>C13</f>
        <v>22225</v>
      </c>
      <c r="D12" s="26">
        <f>C12/B12-1</f>
        <v>-0.61251460153076343</v>
      </c>
    </row>
    <row r="13" spans="1:4">
      <c r="A13" s="3" t="s">
        <v>124</v>
      </c>
      <c r="B13" s="25">
        <v>57357</v>
      </c>
      <c r="C13" s="25">
        <v>22225</v>
      </c>
      <c r="D13" s="26">
        <f>C13/B13-1</f>
        <v>-0.61251460153076343</v>
      </c>
    </row>
    <row r="14" spans="1:4">
      <c r="B14" s="25"/>
      <c r="C14" s="25"/>
      <c r="D14" s="26"/>
    </row>
    <row r="15" spans="1:4">
      <c r="A15" s="3" t="s">
        <v>92</v>
      </c>
      <c r="B15" s="25">
        <f>SUM(B16:B19)</f>
        <v>71663506.299999997</v>
      </c>
      <c r="C15" s="25">
        <f>SUM(C16:C19)</f>
        <v>76957468</v>
      </c>
      <c r="D15" s="26">
        <f>C15/B15-1</f>
        <v>7.3872490662656887E-2</v>
      </c>
    </row>
    <row r="16" spans="1:4">
      <c r="A16" s="3" t="s">
        <v>125</v>
      </c>
      <c r="B16" s="25">
        <v>267046</v>
      </c>
      <c r="C16" s="25">
        <v>97374</v>
      </c>
      <c r="D16" s="26">
        <f>C16/B16-1</f>
        <v>-0.63536619159245977</v>
      </c>
    </row>
    <row r="17" spans="1:4">
      <c r="A17" s="3" t="s">
        <v>299</v>
      </c>
      <c r="B17" s="25">
        <v>66659426.299999997</v>
      </c>
      <c r="C17" s="25">
        <v>72794533</v>
      </c>
      <c r="D17" s="26">
        <f>C17/B17-1</f>
        <v>9.2036596180546493E-2</v>
      </c>
    </row>
    <row r="18" spans="1:4">
      <c r="A18" s="3" t="s">
        <v>126</v>
      </c>
      <c r="B18" s="25">
        <v>898079</v>
      </c>
      <c r="C18" s="25">
        <v>746877</v>
      </c>
      <c r="D18" s="26">
        <f>C18/B18-1</f>
        <v>-0.16836158066272566</v>
      </c>
    </row>
    <row r="19" spans="1:4">
      <c r="A19" s="3" t="s">
        <v>127</v>
      </c>
      <c r="B19" s="25">
        <v>3838955</v>
      </c>
      <c r="C19" s="25">
        <v>3318684</v>
      </c>
      <c r="D19" s="26">
        <f>C19/B19-1</f>
        <v>-0.135524120496333</v>
      </c>
    </row>
    <row r="20" spans="1:4">
      <c r="B20" s="25"/>
      <c r="C20" s="25"/>
      <c r="D20" s="26"/>
    </row>
    <row r="21" spans="1:4">
      <c r="A21" s="3" t="s">
        <v>93</v>
      </c>
      <c r="B21" s="25">
        <f>SUM(B22:B32)</f>
        <v>443867412.02000004</v>
      </c>
      <c r="C21" s="25">
        <f>SUM(C22:C32)</f>
        <v>136064552</v>
      </c>
      <c r="D21" s="26">
        <f t="shared" ref="D21:D34" si="0">C21/B21-1</f>
        <v>-0.69345676588244531</v>
      </c>
    </row>
    <row r="22" spans="1:4">
      <c r="A22" s="3" t="s">
        <v>128</v>
      </c>
      <c r="B22" s="25">
        <v>13133435.199999999</v>
      </c>
      <c r="C22" s="25">
        <v>13963953</v>
      </c>
      <c r="D22" s="26">
        <f t="shared" si="0"/>
        <v>6.3236905451819814E-2</v>
      </c>
    </row>
    <row r="23" spans="1:4">
      <c r="A23" s="3" t="s">
        <v>129</v>
      </c>
      <c r="B23" s="25">
        <v>1441552</v>
      </c>
      <c r="C23" s="25">
        <v>1222978</v>
      </c>
      <c r="D23" s="26">
        <f t="shared" si="0"/>
        <v>-0.15162408293283902</v>
      </c>
    </row>
    <row r="24" spans="1:4">
      <c r="A24" s="3" t="s">
        <v>130</v>
      </c>
      <c r="B24" s="25">
        <v>289658</v>
      </c>
      <c r="C24" s="25">
        <v>347781</v>
      </c>
      <c r="D24" s="26">
        <f t="shared" si="0"/>
        <v>0.20066077926382153</v>
      </c>
    </row>
    <row r="25" spans="1:4">
      <c r="A25" s="3" t="s">
        <v>131</v>
      </c>
      <c r="B25" s="25">
        <v>2226490.17</v>
      </c>
      <c r="C25" s="25">
        <v>2859047</v>
      </c>
      <c r="D25" s="26">
        <f t="shared" si="0"/>
        <v>0.28410492825126643</v>
      </c>
    </row>
    <row r="26" spans="1:4">
      <c r="A26" s="3" t="s">
        <v>132</v>
      </c>
      <c r="B26" s="25">
        <v>391119904.51999998</v>
      </c>
      <c r="C26" s="25">
        <v>77265165</v>
      </c>
      <c r="D26" s="26">
        <f t="shared" si="0"/>
        <v>-0.80245146281976287</v>
      </c>
    </row>
    <row r="27" spans="1:4">
      <c r="A27" s="3" t="s">
        <v>136</v>
      </c>
      <c r="B27" s="25">
        <v>1979819.72</v>
      </c>
      <c r="C27" s="25">
        <v>2381717</v>
      </c>
      <c r="D27" s="26">
        <f t="shared" si="0"/>
        <v>0.20299690721334973</v>
      </c>
    </row>
    <row r="28" spans="1:4">
      <c r="A28" s="3" t="s">
        <v>133</v>
      </c>
      <c r="B28" s="25">
        <v>18869257.600000001</v>
      </c>
      <c r="C28" s="25">
        <v>18840379</v>
      </c>
      <c r="D28" s="26">
        <f t="shared" si="0"/>
        <v>-1.5304576688804916E-3</v>
      </c>
    </row>
    <row r="29" spans="1:4">
      <c r="A29" s="3" t="s">
        <v>137</v>
      </c>
      <c r="B29" s="25">
        <v>10178119.99</v>
      </c>
      <c r="C29" s="25">
        <v>13558236</v>
      </c>
      <c r="D29" s="26">
        <f t="shared" si="0"/>
        <v>0.33209630200085694</v>
      </c>
    </row>
    <row r="30" spans="1:4">
      <c r="A30" s="3" t="s">
        <v>134</v>
      </c>
      <c r="B30" s="25">
        <v>88849</v>
      </c>
      <c r="C30" s="25">
        <v>91611</v>
      </c>
      <c r="D30" s="26">
        <f t="shared" si="0"/>
        <v>3.1086450044457425E-2</v>
      </c>
    </row>
    <row r="31" spans="1:4">
      <c r="A31" s="3" t="s">
        <v>135</v>
      </c>
      <c r="B31" s="25">
        <v>1910426</v>
      </c>
      <c r="C31" s="25">
        <v>2434506</v>
      </c>
      <c r="D31" s="26">
        <f t="shared" si="0"/>
        <v>0.27432624974743858</v>
      </c>
    </row>
    <row r="32" spans="1:4">
      <c r="A32" s="3" t="s">
        <v>100</v>
      </c>
      <c r="B32" s="25">
        <v>2629899.8199999998</v>
      </c>
      <c r="C32" s="25">
        <v>3099179</v>
      </c>
      <c r="D32" s="26">
        <f t="shared" si="0"/>
        <v>0.17843994529038754</v>
      </c>
    </row>
    <row r="33" spans="1:4">
      <c r="B33" s="25"/>
      <c r="C33" s="25"/>
      <c r="D33" s="26"/>
    </row>
    <row r="34" spans="1:4">
      <c r="A34" s="3" t="s">
        <v>300</v>
      </c>
      <c r="B34" s="25">
        <v>2554023</v>
      </c>
      <c r="C34" s="25">
        <v>2147113</v>
      </c>
      <c r="D34" s="26">
        <f t="shared" si="0"/>
        <v>-0.15932119640269493</v>
      </c>
    </row>
    <row r="36" spans="1:4">
      <c r="A36" s="4" t="s">
        <v>143</v>
      </c>
    </row>
    <row r="37" spans="1:4">
      <c r="A37" s="3" t="s">
        <v>153</v>
      </c>
    </row>
    <row r="42" spans="1:4">
      <c r="D42" s="3" t="s">
        <v>55</v>
      </c>
    </row>
  </sheetData>
  <hyperlinks>
    <hyperlink ref="A4" location="Inhalt!A1" display="&lt;&lt;&lt; Inhalt" xr:uid="{A69B918C-7B96-434C-A45D-9463313B2764}"/>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6"/>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313</v>
      </c>
    </row>
    <row r="2" spans="1:4">
      <c r="A2" s="3" t="s">
        <v>246</v>
      </c>
    </row>
    <row r="4" spans="1:4">
      <c r="A4" s="40" t="s">
        <v>551</v>
      </c>
    </row>
    <row r="6" spans="1:4">
      <c r="A6" s="3" t="s">
        <v>510</v>
      </c>
    </row>
    <row r="8" spans="1:4">
      <c r="A8" s="24"/>
      <c r="B8" s="24" t="s">
        <v>466</v>
      </c>
      <c r="C8" s="24" t="s">
        <v>480</v>
      </c>
      <c r="D8" s="24" t="s">
        <v>152</v>
      </c>
    </row>
    <row r="10" spans="1:4">
      <c r="A10" s="3" t="s">
        <v>334</v>
      </c>
      <c r="B10" s="25">
        <v>29774629</v>
      </c>
      <c r="C10" s="25">
        <v>30392717</v>
      </c>
      <c r="D10" s="26">
        <f>C10/B10-1</f>
        <v>2.0758881663983209E-2</v>
      </c>
    </row>
    <row r="11" spans="1:4">
      <c r="A11" s="3" t="s">
        <v>346</v>
      </c>
      <c r="B11" s="25">
        <v>1482530</v>
      </c>
      <c r="C11" s="25">
        <v>-1224692</v>
      </c>
      <c r="D11" s="26" t="s">
        <v>89</v>
      </c>
    </row>
    <row r="12" spans="1:4">
      <c r="A12" s="3" t="s">
        <v>101</v>
      </c>
      <c r="B12" s="25">
        <f>B10-B11</f>
        <v>28292099</v>
      </c>
      <c r="C12" s="25">
        <f>C10-C11</f>
        <v>31617409</v>
      </c>
      <c r="D12" s="26">
        <f>C12/B12-1</f>
        <v>0.11753493439988305</v>
      </c>
    </row>
    <row r="13" spans="1:4">
      <c r="B13" s="25"/>
      <c r="C13" s="25"/>
      <c r="D13" s="26"/>
    </row>
    <row r="14" spans="1:4">
      <c r="A14" s="3" t="s">
        <v>144</v>
      </c>
      <c r="B14" s="25">
        <v>1136</v>
      </c>
      <c r="C14" s="25">
        <v>1811</v>
      </c>
      <c r="D14" s="26">
        <f>C14/B14-1</f>
        <v>0.59419014084507049</v>
      </c>
    </row>
    <row r="15" spans="1:4">
      <c r="B15" s="25"/>
      <c r="C15" s="25"/>
      <c r="D15" s="26"/>
    </row>
    <row r="16" spans="1:4">
      <c r="A16" s="3" t="s">
        <v>151</v>
      </c>
      <c r="B16" s="25">
        <f>B12/B$14</f>
        <v>24905.016725352114</v>
      </c>
      <c r="C16" s="25">
        <f>C12/C$14</f>
        <v>17458.536167863058</v>
      </c>
      <c r="D16" s="26">
        <f>C16/B16-1</f>
        <v>-0.29899520404292268</v>
      </c>
    </row>
    <row r="17" spans="1:4">
      <c r="B17" s="25"/>
      <c r="C17" s="25"/>
      <c r="D17" s="26"/>
    </row>
    <row r="18" spans="1:4">
      <c r="A18" s="3" t="s">
        <v>62</v>
      </c>
      <c r="B18" s="25">
        <v>483</v>
      </c>
      <c r="C18" s="25">
        <v>828</v>
      </c>
      <c r="D18" s="26">
        <f>C18/B18-1</f>
        <v>0.71428571428571419</v>
      </c>
    </row>
    <row r="19" spans="1:4">
      <c r="A19" s="3" t="s">
        <v>61</v>
      </c>
      <c r="B19" s="25">
        <v>653</v>
      </c>
      <c r="C19" s="25">
        <v>983</v>
      </c>
      <c r="D19" s="26">
        <f>C19/B19-1</f>
        <v>0.50535987748851463</v>
      </c>
    </row>
    <row r="24" spans="1:4" s="23" customFormat="1" ht="15.75">
      <c r="A24" s="23" t="s">
        <v>314</v>
      </c>
    </row>
    <row r="25" spans="1:4">
      <c r="A25" s="3" t="s">
        <v>246</v>
      </c>
    </row>
    <row r="27" spans="1:4">
      <c r="A27" s="3" t="s">
        <v>511</v>
      </c>
    </row>
    <row r="29" spans="1:4">
      <c r="A29" s="24"/>
      <c r="B29" s="24" t="s">
        <v>466</v>
      </c>
      <c r="C29" s="24" t="s">
        <v>480</v>
      </c>
      <c r="D29" s="24" t="s">
        <v>165</v>
      </c>
    </row>
    <row r="31" spans="1:4">
      <c r="A31" s="3" t="s">
        <v>101</v>
      </c>
      <c r="B31" s="25">
        <f>SUM(B33:B44)</f>
        <v>28292099.300000001</v>
      </c>
      <c r="C31" s="25">
        <f>SUM(C33:C44)</f>
        <v>31617408.779999994</v>
      </c>
      <c r="D31" s="26">
        <f>SUM(D33:D43)</f>
        <v>1.0000000000000002</v>
      </c>
    </row>
    <row r="32" spans="1:4">
      <c r="B32" s="25"/>
      <c r="C32" s="25"/>
      <c r="D32" s="26"/>
    </row>
    <row r="33" spans="1:4">
      <c r="A33" s="3" t="s">
        <v>154</v>
      </c>
      <c r="B33" s="25">
        <v>3482630.25</v>
      </c>
      <c r="C33" s="25">
        <v>5568016.3799999999</v>
      </c>
      <c r="D33" s="26">
        <f t="shared" ref="D33:D43" si="0">C33/C$31</f>
        <v>0.17610603129254923</v>
      </c>
    </row>
    <row r="34" spans="1:4">
      <c r="A34" s="3" t="s">
        <v>155</v>
      </c>
      <c r="B34" s="25">
        <v>1982479.05</v>
      </c>
      <c r="C34" s="25">
        <v>4610647.95</v>
      </c>
      <c r="D34" s="26">
        <f t="shared" si="0"/>
        <v>0.1458262434496696</v>
      </c>
    </row>
    <row r="35" spans="1:4">
      <c r="A35" s="3" t="s">
        <v>156</v>
      </c>
      <c r="B35" s="25">
        <v>559405.65</v>
      </c>
      <c r="C35" s="25">
        <v>1710939.45</v>
      </c>
      <c r="D35" s="26">
        <f t="shared" si="0"/>
        <v>5.4113841583446808E-2</v>
      </c>
    </row>
    <row r="36" spans="1:4">
      <c r="A36" s="3" t="s">
        <v>157</v>
      </c>
      <c r="B36" s="25">
        <v>11673976.699999999</v>
      </c>
      <c r="C36" s="25">
        <v>5563494.9000000004</v>
      </c>
      <c r="D36" s="26">
        <f t="shared" si="0"/>
        <v>0.17596302526598137</v>
      </c>
    </row>
    <row r="37" spans="1:4">
      <c r="A37" s="3" t="s">
        <v>158</v>
      </c>
      <c r="B37" s="25">
        <v>5054662.05</v>
      </c>
      <c r="C37" s="25">
        <v>6767587.6500000004</v>
      </c>
      <c r="D37" s="26">
        <f t="shared" si="0"/>
        <v>0.21404624575942247</v>
      </c>
    </row>
    <row r="38" spans="1:4">
      <c r="A38" s="3" t="s">
        <v>159</v>
      </c>
      <c r="B38" s="25">
        <v>1109.8499999999999</v>
      </c>
      <c r="C38" s="25">
        <v>410005.65</v>
      </c>
      <c r="D38" s="26">
        <f t="shared" si="0"/>
        <v>1.2967718286242182E-2</v>
      </c>
    </row>
    <row r="39" spans="1:4">
      <c r="A39" s="3" t="s">
        <v>160</v>
      </c>
      <c r="B39" s="25">
        <v>1561170.75</v>
      </c>
      <c r="C39" s="25">
        <v>2692646.75</v>
      </c>
      <c r="D39" s="26">
        <f t="shared" si="0"/>
        <v>8.5163422743968473E-2</v>
      </c>
    </row>
    <row r="40" spans="1:4">
      <c r="A40" s="3" t="s">
        <v>161</v>
      </c>
      <c r="B40" s="25">
        <v>1580390.7</v>
      </c>
      <c r="C40" s="25">
        <v>1927093.35</v>
      </c>
      <c r="D40" s="26">
        <f t="shared" si="0"/>
        <v>6.0950388547305882E-2</v>
      </c>
    </row>
    <row r="41" spans="1:4">
      <c r="A41" s="3" t="s">
        <v>162</v>
      </c>
      <c r="B41" s="25">
        <v>1045197</v>
      </c>
      <c r="C41" s="25">
        <v>679888.15</v>
      </c>
      <c r="D41" s="26">
        <f t="shared" si="0"/>
        <v>2.1503601219530433E-2</v>
      </c>
    </row>
    <row r="42" spans="1:4">
      <c r="A42" s="3" t="s">
        <v>163</v>
      </c>
      <c r="B42" s="25">
        <v>550843.94999999995</v>
      </c>
      <c r="C42" s="25">
        <v>789102.15</v>
      </c>
      <c r="D42" s="26">
        <f t="shared" si="0"/>
        <v>2.4957837484112771E-2</v>
      </c>
    </row>
    <row r="43" spans="1:4">
      <c r="A43" s="3" t="s">
        <v>164</v>
      </c>
      <c r="B43" s="25">
        <v>800233.35</v>
      </c>
      <c r="C43" s="25">
        <v>897986.4</v>
      </c>
      <c r="D43" s="26">
        <f t="shared" si="0"/>
        <v>2.8401644367770994E-2</v>
      </c>
    </row>
    <row r="45" spans="1:4">
      <c r="A45" s="4" t="s">
        <v>143</v>
      </c>
    </row>
    <row r="46" spans="1:4">
      <c r="A46" s="3" t="s">
        <v>153</v>
      </c>
    </row>
  </sheetData>
  <customSheetViews>
    <customSheetView guid="{9E4C61FA-E6D1-438A-8921-8C22C886D6BA}" showRuler="0">
      <selection activeCell="A25" sqref="A2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7234D3B3-BC99-42A3-BBCF-28A064852D70}"/>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7"/>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315</v>
      </c>
    </row>
    <row r="2" spans="1:4">
      <c r="A2" s="3" t="s">
        <v>246</v>
      </c>
    </row>
    <row r="4" spans="1:4">
      <c r="A4" s="40" t="s">
        <v>551</v>
      </c>
    </row>
    <row r="6" spans="1:4">
      <c r="A6" s="3" t="s">
        <v>513</v>
      </c>
    </row>
    <row r="8" spans="1:4">
      <c r="A8" s="24"/>
      <c r="B8" s="24" t="s">
        <v>466</v>
      </c>
      <c r="C8" s="24" t="s">
        <v>480</v>
      </c>
      <c r="D8" s="24" t="s">
        <v>152</v>
      </c>
    </row>
    <row r="10" spans="1:4">
      <c r="A10" s="3" t="s">
        <v>122</v>
      </c>
      <c r="B10" s="25">
        <v>143068979</v>
      </c>
      <c r="C10" s="25">
        <v>165893100.05000001</v>
      </c>
      <c r="D10" s="26">
        <f>C10/B10-1</f>
        <v>0.15953228442344591</v>
      </c>
    </row>
    <row r="15" spans="1:4" s="23" customFormat="1" ht="15.75">
      <c r="A15" s="23" t="s">
        <v>331</v>
      </c>
    </row>
    <row r="16" spans="1:4">
      <c r="A16" s="3" t="s">
        <v>246</v>
      </c>
    </row>
    <row r="18" spans="1:4">
      <c r="A18" s="3" t="s">
        <v>512</v>
      </c>
    </row>
    <row r="20" spans="1:4">
      <c r="A20" s="24"/>
      <c r="B20" s="24" t="s">
        <v>466</v>
      </c>
      <c r="C20" s="24" t="s">
        <v>480</v>
      </c>
      <c r="D20" s="24" t="s">
        <v>165</v>
      </c>
    </row>
    <row r="22" spans="1:4">
      <c r="A22" s="3" t="s">
        <v>90</v>
      </c>
      <c r="B22" s="25">
        <f>SUM(B24:B35)</f>
        <v>143068979</v>
      </c>
      <c r="C22" s="25">
        <f>SUM(C24:C35)</f>
        <v>165893100.05000001</v>
      </c>
      <c r="D22" s="26">
        <f>SUM(D24:D34)</f>
        <v>0.99999999999999989</v>
      </c>
    </row>
    <row r="23" spans="1:4">
      <c r="B23" s="25"/>
      <c r="C23" s="25"/>
      <c r="D23" s="26"/>
    </row>
    <row r="24" spans="1:4">
      <c r="A24" s="3" t="s">
        <v>154</v>
      </c>
      <c r="B24" s="25">
        <v>18474951</v>
      </c>
      <c r="C24" s="25">
        <v>31565399</v>
      </c>
      <c r="D24" s="26">
        <f t="shared" ref="D24:D34" si="0">C24/C$22</f>
        <v>0.19027553882883749</v>
      </c>
    </row>
    <row r="25" spans="1:4">
      <c r="A25" s="3" t="s">
        <v>155</v>
      </c>
      <c r="B25" s="25">
        <v>11657407</v>
      </c>
      <c r="C25" s="25">
        <v>23187124.550000001</v>
      </c>
      <c r="D25" s="26">
        <f t="shared" si="0"/>
        <v>0.13977148261748937</v>
      </c>
    </row>
    <row r="26" spans="1:4">
      <c r="A26" s="3" t="s">
        <v>156</v>
      </c>
      <c r="B26" s="25">
        <v>3508665</v>
      </c>
      <c r="C26" s="25">
        <v>9628710.3499999996</v>
      </c>
      <c r="D26" s="26">
        <f t="shared" si="0"/>
        <v>5.8041656627659116E-2</v>
      </c>
    </row>
    <row r="27" spans="1:4">
      <c r="A27" s="3" t="s">
        <v>157</v>
      </c>
      <c r="B27" s="25">
        <v>54124542</v>
      </c>
      <c r="C27" s="25">
        <v>28279491.75</v>
      </c>
      <c r="D27" s="26">
        <f t="shared" si="0"/>
        <v>0.17046816137305645</v>
      </c>
    </row>
    <row r="28" spans="1:4">
      <c r="A28" s="3" t="s">
        <v>158</v>
      </c>
      <c r="B28" s="25">
        <v>25442930</v>
      </c>
      <c r="C28" s="25">
        <v>31521411.600000001</v>
      </c>
      <c r="D28" s="26">
        <f t="shared" si="0"/>
        <v>0.1900103837380788</v>
      </c>
    </row>
    <row r="29" spans="1:4">
      <c r="A29" s="3" t="s">
        <v>159</v>
      </c>
      <c r="B29" s="25">
        <v>67333</v>
      </c>
      <c r="C29" s="25">
        <v>2033170.95</v>
      </c>
      <c r="D29" s="26">
        <f t="shared" si="0"/>
        <v>1.2255910278288876E-2</v>
      </c>
    </row>
    <row r="30" spans="1:4">
      <c r="A30" s="3" t="s">
        <v>160</v>
      </c>
      <c r="B30" s="25">
        <v>8460306</v>
      </c>
      <c r="C30" s="25">
        <v>14695267.1</v>
      </c>
      <c r="D30" s="26">
        <f t="shared" si="0"/>
        <v>8.8582750551836453E-2</v>
      </c>
    </row>
    <row r="31" spans="1:4">
      <c r="A31" s="3" t="s">
        <v>161</v>
      </c>
      <c r="B31" s="25">
        <v>8138231</v>
      </c>
      <c r="C31" s="25">
        <v>11084494.75</v>
      </c>
      <c r="D31" s="26">
        <f t="shared" si="0"/>
        <v>6.6817093336969072E-2</v>
      </c>
    </row>
    <row r="32" spans="1:4">
      <c r="A32" s="3" t="s">
        <v>162</v>
      </c>
      <c r="B32" s="25">
        <v>5643787</v>
      </c>
      <c r="C32" s="25">
        <v>3829683.35</v>
      </c>
      <c r="D32" s="26">
        <f t="shared" si="0"/>
        <v>2.3085247962969752E-2</v>
      </c>
    </row>
    <row r="33" spans="1:4">
      <c r="A33" s="3" t="s">
        <v>163</v>
      </c>
      <c r="B33" s="25">
        <v>2582489</v>
      </c>
      <c r="C33" s="25">
        <v>4486573.75</v>
      </c>
      <c r="D33" s="26">
        <f t="shared" si="0"/>
        <v>2.7044969011054416E-2</v>
      </c>
    </row>
    <row r="34" spans="1:4">
      <c r="A34" s="3" t="s">
        <v>164</v>
      </c>
      <c r="B34" s="25">
        <v>4968338</v>
      </c>
      <c r="C34" s="25">
        <v>5581772.9000000004</v>
      </c>
      <c r="D34" s="26">
        <f t="shared" si="0"/>
        <v>3.3646805673760147E-2</v>
      </c>
    </row>
    <row r="36" spans="1:4">
      <c r="A36" s="4" t="s">
        <v>143</v>
      </c>
    </row>
    <row r="37" spans="1:4">
      <c r="A37" s="3" t="s">
        <v>153</v>
      </c>
    </row>
  </sheetData>
  <customSheetViews>
    <customSheetView guid="{9E4C61FA-E6D1-438A-8921-8C22C886D6BA}" showRuler="0">
      <selection activeCell="A17" sqref="A17"/>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5817E156-12E5-4933-B1B3-0BEFB2D5E012}"/>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5"/>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316</v>
      </c>
    </row>
    <row r="2" spans="1:4">
      <c r="A2" s="3" t="s">
        <v>246</v>
      </c>
    </row>
    <row r="4" spans="1:4">
      <c r="A4" s="40" t="s">
        <v>551</v>
      </c>
    </row>
    <row r="6" spans="1:4">
      <c r="A6" s="3" t="s">
        <v>514</v>
      </c>
    </row>
    <row r="8" spans="1:4">
      <c r="A8" s="24"/>
      <c r="B8" s="24" t="s">
        <v>466</v>
      </c>
      <c r="C8" s="24" t="s">
        <v>480</v>
      </c>
      <c r="D8" s="24" t="s">
        <v>152</v>
      </c>
    </row>
    <row r="10" spans="1:4">
      <c r="A10" s="3" t="s">
        <v>101</v>
      </c>
      <c r="B10" s="25">
        <v>33854016</v>
      </c>
      <c r="C10" s="25">
        <v>35968080.75</v>
      </c>
      <c r="D10" s="26">
        <f>C10/B10-1</f>
        <v>6.2446498223430957E-2</v>
      </c>
    </row>
    <row r="11" spans="1:4">
      <c r="B11" s="25"/>
      <c r="C11" s="25"/>
      <c r="D11" s="26"/>
    </row>
    <row r="12" spans="1:4">
      <c r="A12" s="3" t="s">
        <v>186</v>
      </c>
      <c r="B12" s="25">
        <v>24739453</v>
      </c>
      <c r="C12" s="25">
        <v>25101967</v>
      </c>
      <c r="D12" s="26">
        <f>C12/B12-1</f>
        <v>1.4653274670220151E-2</v>
      </c>
    </row>
    <row r="13" spans="1:4">
      <c r="A13" s="3" t="s">
        <v>187</v>
      </c>
      <c r="B13" s="25">
        <v>3552062</v>
      </c>
      <c r="C13" s="25">
        <v>4711270</v>
      </c>
      <c r="D13" s="26">
        <f>C13/B13-1</f>
        <v>0.32634790721558349</v>
      </c>
    </row>
    <row r="14" spans="1:4">
      <c r="A14" s="3" t="s">
        <v>286</v>
      </c>
      <c r="B14" s="25">
        <v>2834622</v>
      </c>
      <c r="C14" s="25">
        <v>3096445</v>
      </c>
      <c r="D14" s="26">
        <f>C14/B14-1</f>
        <v>9.2366107368107686E-2</v>
      </c>
    </row>
    <row r="15" spans="1:4">
      <c r="A15" s="3" t="s">
        <v>284</v>
      </c>
      <c r="B15" s="25">
        <v>1924905</v>
      </c>
      <c r="C15" s="25">
        <v>2223554</v>
      </c>
      <c r="D15" s="26">
        <f>C15/B15-1</f>
        <v>0.15514999441530875</v>
      </c>
    </row>
    <row r="16" spans="1:4">
      <c r="A16" s="3" t="s">
        <v>285</v>
      </c>
      <c r="B16" s="25">
        <v>802974</v>
      </c>
      <c r="C16" s="25">
        <v>834845</v>
      </c>
      <c r="D16" s="26">
        <f>C16/B16-1</f>
        <v>3.9691197971540859E-2</v>
      </c>
    </row>
    <row r="21" spans="1:4" s="23" customFormat="1" ht="15.75">
      <c r="A21" s="23" t="s">
        <v>332</v>
      </c>
    </row>
    <row r="22" spans="1:4">
      <c r="A22" s="3" t="s">
        <v>246</v>
      </c>
    </row>
    <row r="24" spans="1:4">
      <c r="A24" s="3" t="s">
        <v>515</v>
      </c>
    </row>
    <row r="26" spans="1:4">
      <c r="A26" s="24"/>
      <c r="B26" s="24" t="s">
        <v>466</v>
      </c>
      <c r="C26" s="24" t="s">
        <v>480</v>
      </c>
      <c r="D26" s="24" t="s">
        <v>152</v>
      </c>
    </row>
    <row r="28" spans="1:4">
      <c r="A28" s="3" t="s">
        <v>230</v>
      </c>
      <c r="B28" s="30" t="s">
        <v>85</v>
      </c>
      <c r="C28" s="30" t="s">
        <v>85</v>
      </c>
      <c r="D28" s="26" t="s">
        <v>89</v>
      </c>
    </row>
    <row r="29" spans="1:4">
      <c r="A29" s="3" t="s">
        <v>188</v>
      </c>
      <c r="B29" s="30" t="s">
        <v>85</v>
      </c>
      <c r="C29" s="30" t="s">
        <v>85</v>
      </c>
      <c r="D29" s="26" t="s">
        <v>89</v>
      </c>
    </row>
    <row r="30" spans="1:4">
      <c r="A30" s="3" t="s">
        <v>191</v>
      </c>
      <c r="B30" s="30">
        <v>23583307.41</v>
      </c>
      <c r="C30" s="30">
        <v>25799283.859999999</v>
      </c>
      <c r="D30" s="26">
        <f>C30/B30-1</f>
        <v>9.3963769011481402E-2</v>
      </c>
    </row>
    <row r="31" spans="1:4">
      <c r="A31" s="3" t="s">
        <v>282</v>
      </c>
      <c r="B31" s="30">
        <v>12313330.85</v>
      </c>
      <c r="C31" s="30">
        <v>14779637.1</v>
      </c>
      <c r="D31" s="26">
        <f>C31/B31-1</f>
        <v>0.20029562106665888</v>
      </c>
    </row>
    <row r="32" spans="1:4">
      <c r="A32" s="3" t="s">
        <v>283</v>
      </c>
      <c r="B32" s="30">
        <v>22568050</v>
      </c>
      <c r="C32" s="30">
        <v>23226375</v>
      </c>
      <c r="D32" s="26">
        <f>C32/B32-1</f>
        <v>2.91706638367073E-2</v>
      </c>
    </row>
    <row r="34" spans="1:1">
      <c r="A34" s="4" t="s">
        <v>143</v>
      </c>
    </row>
    <row r="35" spans="1:1">
      <c r="A35" s="3" t="s">
        <v>153</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AF093752-1B4E-4011-B176-1B88CA98FAA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5"/>
  <sheetViews>
    <sheetView zoomScaleNormal="100" workbookViewId="0">
      <selection activeCell="A4" sqref="A4"/>
    </sheetView>
  </sheetViews>
  <sheetFormatPr baseColWidth="10" defaultRowHeight="12.75"/>
  <cols>
    <col min="1" max="1" width="37.7109375" style="3" customWidth="1"/>
    <col min="2" max="4" width="15.7109375" style="3" customWidth="1"/>
    <col min="5" max="5" width="11.7109375" style="3" customWidth="1"/>
    <col min="6" max="16384" width="11.42578125" style="3"/>
  </cols>
  <sheetData>
    <row r="1" spans="1:4" s="23" customFormat="1" ht="15.75">
      <c r="A1" s="23" t="s">
        <v>317</v>
      </c>
    </row>
    <row r="2" spans="1:4">
      <c r="A2" s="3" t="s">
        <v>246</v>
      </c>
    </row>
    <row r="4" spans="1:4">
      <c r="A4" s="40" t="s">
        <v>551</v>
      </c>
    </row>
    <row r="6" spans="1:4">
      <c r="A6" s="3" t="s">
        <v>516</v>
      </c>
    </row>
    <row r="8" spans="1:4">
      <c r="A8" s="24"/>
      <c r="B8" s="24" t="s">
        <v>466</v>
      </c>
      <c r="C8" s="24" t="s">
        <v>480</v>
      </c>
      <c r="D8" s="24" t="s">
        <v>152</v>
      </c>
    </row>
    <row r="10" spans="1:4">
      <c r="A10" s="3" t="s">
        <v>334</v>
      </c>
      <c r="B10" s="25">
        <v>34888</v>
      </c>
      <c r="C10" s="25">
        <v>18923</v>
      </c>
      <c r="D10" s="26">
        <f>C10/B10-1</f>
        <v>-0.45760720018344414</v>
      </c>
    </row>
    <row r="11" spans="1:4">
      <c r="A11" s="3" t="s">
        <v>346</v>
      </c>
      <c r="B11" s="25">
        <v>5972</v>
      </c>
      <c r="C11" s="25">
        <v>0</v>
      </c>
      <c r="D11" s="26">
        <f>C11/B11-1</f>
        <v>-1</v>
      </c>
    </row>
    <row r="12" spans="1:4">
      <c r="A12" s="3" t="s">
        <v>101</v>
      </c>
      <c r="B12" s="25">
        <f>B10-B11</f>
        <v>28916</v>
      </c>
      <c r="C12" s="25">
        <v>18923</v>
      </c>
      <c r="D12" s="26">
        <f>C12/B12-1</f>
        <v>-0.34558721814912163</v>
      </c>
    </row>
    <row r="14" spans="1:4">
      <c r="A14" s="4" t="s">
        <v>143</v>
      </c>
    </row>
    <row r="15" spans="1:4">
      <c r="A15" s="3" t="s">
        <v>153</v>
      </c>
    </row>
  </sheetData>
  <customSheetViews>
    <customSheetView guid="{9E4C61FA-E6D1-438A-8921-8C22C886D6BA}" showRuler="0" topLeftCell="A3">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4443E21E-1823-476F-8033-5D2E3BCBAB90}"/>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48"/>
  <sheetViews>
    <sheetView zoomScaleNormal="100" workbookViewId="0">
      <selection activeCell="A4" sqref="A4"/>
    </sheetView>
  </sheetViews>
  <sheetFormatPr baseColWidth="10" defaultRowHeight="12.75"/>
  <cols>
    <col min="1" max="1" width="37.7109375" style="3" customWidth="1"/>
    <col min="2" max="4" width="15.7109375" style="3" customWidth="1"/>
    <col min="5" max="5" width="11.42578125" style="3"/>
    <col min="6" max="6" width="14.28515625" style="3" bestFit="1" customWidth="1"/>
    <col min="7" max="16384" width="11.42578125" style="3"/>
  </cols>
  <sheetData>
    <row r="1" spans="1:4" s="23" customFormat="1" ht="15.75">
      <c r="A1" s="23" t="s">
        <v>319</v>
      </c>
    </row>
    <row r="2" spans="1:4">
      <c r="A2" s="3" t="s">
        <v>246</v>
      </c>
    </row>
    <row r="4" spans="1:4">
      <c r="A4" s="40" t="s">
        <v>551</v>
      </c>
    </row>
    <row r="6" spans="1:4">
      <c r="A6" s="3" t="s">
        <v>517</v>
      </c>
    </row>
    <row r="8" spans="1:4">
      <c r="A8" s="24"/>
      <c r="B8" s="24" t="s">
        <v>466</v>
      </c>
      <c r="C8" s="24" t="s">
        <v>480</v>
      </c>
      <c r="D8" s="24" t="s">
        <v>152</v>
      </c>
    </row>
    <row r="10" spans="1:4">
      <c r="A10" s="3" t="s">
        <v>101</v>
      </c>
      <c r="B10" s="25">
        <v>43869354</v>
      </c>
      <c r="C10" s="25">
        <v>52502394</v>
      </c>
      <c r="D10" s="26">
        <f>C10/B10-1</f>
        <v>0.19678976809186666</v>
      </c>
    </row>
    <row r="11" spans="1:4">
      <c r="B11" s="25"/>
      <c r="C11" s="25"/>
      <c r="D11" s="26"/>
    </row>
    <row r="12" spans="1:4">
      <c r="A12" s="3" t="s">
        <v>13</v>
      </c>
      <c r="B12" s="25">
        <v>202</v>
      </c>
      <c r="C12" s="25">
        <v>213</v>
      </c>
      <c r="D12" s="26">
        <f>C12/B12-1</f>
        <v>5.4455445544554504E-2</v>
      </c>
    </row>
    <row r="13" spans="1:4">
      <c r="B13" s="25"/>
      <c r="C13" s="25"/>
      <c r="D13" s="26"/>
    </row>
    <row r="14" spans="1:4">
      <c r="A14" s="3" t="s">
        <v>59</v>
      </c>
      <c r="B14" s="25">
        <f>B10/B$12</f>
        <v>217175.0198019802</v>
      </c>
      <c r="C14" s="25">
        <f>C10/C$12</f>
        <v>246490.11267605633</v>
      </c>
      <c r="D14" s="26">
        <f>C14/B14-1</f>
        <v>0.13498372373031464</v>
      </c>
    </row>
    <row r="19" spans="1:4" ht="15.75">
      <c r="A19" s="23" t="s">
        <v>320</v>
      </c>
    </row>
    <row r="20" spans="1:4">
      <c r="A20" s="3" t="s">
        <v>246</v>
      </c>
    </row>
    <row r="22" spans="1:4">
      <c r="A22" s="3" t="s">
        <v>518</v>
      </c>
    </row>
    <row r="24" spans="1:4">
      <c r="A24" s="24"/>
      <c r="B24" s="24" t="s">
        <v>466</v>
      </c>
      <c r="C24" s="24" t="s">
        <v>480</v>
      </c>
      <c r="D24" s="24" t="s">
        <v>165</v>
      </c>
    </row>
    <row r="26" spans="1:4">
      <c r="A26" s="3" t="s">
        <v>101</v>
      </c>
      <c r="B26" s="25">
        <f>SUM(B28,B33,B37,B39,B41)</f>
        <v>43573010.979999997</v>
      </c>
      <c r="C26" s="25">
        <f>SUM(C28,C33,C37,C39,C41)</f>
        <v>52099267.009999998</v>
      </c>
      <c r="D26" s="26">
        <f>SUM(D28,D33,D37,D39,D41)</f>
        <v>1</v>
      </c>
    </row>
    <row r="27" spans="1:4">
      <c r="B27" s="25"/>
      <c r="C27" s="25"/>
      <c r="D27" s="26"/>
    </row>
    <row r="28" spans="1:4">
      <c r="A28" s="3" t="s">
        <v>5</v>
      </c>
      <c r="B28" s="25">
        <f>SUM(B29:B31)</f>
        <v>3720277.44</v>
      </c>
      <c r="C28" s="25">
        <v>4786915.53</v>
      </c>
      <c r="D28" s="26">
        <f>C28/C$26</f>
        <v>9.1880669435928791E-2</v>
      </c>
    </row>
    <row r="29" spans="1:4">
      <c r="A29" s="3" t="s">
        <v>8</v>
      </c>
      <c r="B29" s="25">
        <v>0</v>
      </c>
      <c r="C29" s="25"/>
      <c r="D29" s="26">
        <f>C29/C$26</f>
        <v>0</v>
      </c>
    </row>
    <row r="30" spans="1:4">
      <c r="A30" s="3" t="s">
        <v>9</v>
      </c>
      <c r="B30" s="25">
        <v>3720277.44</v>
      </c>
      <c r="C30" s="25">
        <v>4786915.53</v>
      </c>
      <c r="D30" s="26">
        <f>C30/C$26</f>
        <v>9.1880669435928791E-2</v>
      </c>
    </row>
    <row r="31" spans="1:4">
      <c r="A31" s="3" t="s">
        <v>10</v>
      </c>
      <c r="B31" s="25">
        <v>0</v>
      </c>
      <c r="C31" s="25">
        <v>0</v>
      </c>
      <c r="D31" s="26" t="str">
        <f>IF(C31=0,"-",C31/C$26)</f>
        <v>-</v>
      </c>
    </row>
    <row r="32" spans="1:4">
      <c r="B32" s="25"/>
      <c r="C32" s="25"/>
      <c r="D32" s="26"/>
    </row>
    <row r="33" spans="1:4">
      <c r="A33" s="3" t="s">
        <v>464</v>
      </c>
      <c r="B33" s="25">
        <f>SUM(B34:B35)</f>
        <v>32440993.460000001</v>
      </c>
      <c r="C33" s="25">
        <f>SUM(C34:C35)</f>
        <v>39917924.939999998</v>
      </c>
      <c r="D33" s="26">
        <f>C33/C$26</f>
        <v>0.76618976102558412</v>
      </c>
    </row>
    <row r="34" spans="1:4">
      <c r="A34" s="3" t="s">
        <v>11</v>
      </c>
      <c r="B34" s="25">
        <v>3654434.59</v>
      </c>
      <c r="C34" s="25">
        <v>3949475.15</v>
      </c>
      <c r="D34" s="26">
        <f>C34/C$26</f>
        <v>7.5806731584955558E-2</v>
      </c>
    </row>
    <row r="35" spans="1:4">
      <c r="A35" s="3" t="s">
        <v>12</v>
      </c>
      <c r="B35" s="25">
        <v>28786558.870000001</v>
      </c>
      <c r="C35" s="25">
        <v>35968449.789999999</v>
      </c>
      <c r="D35" s="26">
        <f>C35/C$26</f>
        <v>0.69038302944062857</v>
      </c>
    </row>
    <row r="36" spans="1:4">
      <c r="B36" s="25"/>
      <c r="C36" s="25"/>
      <c r="D36" s="26"/>
    </row>
    <row r="37" spans="1:4">
      <c r="A37" s="3" t="s">
        <v>6</v>
      </c>
      <c r="B37" s="25">
        <v>7707922.3300000001</v>
      </c>
      <c r="C37" s="25">
        <v>7790942.3799999999</v>
      </c>
      <c r="D37" s="26">
        <f>C37/C$26</f>
        <v>0.14954034532778737</v>
      </c>
    </row>
    <row r="38" spans="1:4">
      <c r="B38" s="25"/>
      <c r="C38" s="25"/>
      <c r="D38" s="26"/>
    </row>
    <row r="39" spans="1:4">
      <c r="A39" s="3" t="s">
        <v>72</v>
      </c>
      <c r="B39" s="25">
        <v>174251.75</v>
      </c>
      <c r="C39" s="25">
        <v>160042.41</v>
      </c>
      <c r="D39" s="26">
        <f>C39/C$26</f>
        <v>3.0718745039019697E-3</v>
      </c>
    </row>
    <row r="40" spans="1:4">
      <c r="B40" s="25"/>
      <c r="C40" s="25"/>
      <c r="D40" s="26"/>
    </row>
    <row r="41" spans="1:4">
      <c r="A41" s="3" t="s">
        <v>7</v>
      </c>
      <c r="B41" s="25">
        <v>-470434</v>
      </c>
      <c r="C41" s="25">
        <v>-556558.25</v>
      </c>
      <c r="D41" s="26">
        <f>C41/C$26</f>
        <v>-1.0682650293202273E-2</v>
      </c>
    </row>
    <row r="43" spans="1:4">
      <c r="A43" s="4" t="s">
        <v>306</v>
      </c>
    </row>
    <row r="44" spans="1:4" ht="29.25" customHeight="1">
      <c r="A44" s="21" t="s">
        <v>194</v>
      </c>
      <c r="B44" s="21"/>
      <c r="C44" s="21"/>
      <c r="D44" s="21"/>
    </row>
    <row r="45" spans="1:4" ht="40.5" customHeight="1">
      <c r="A45" s="21" t="s">
        <v>195</v>
      </c>
      <c r="B45" s="21"/>
      <c r="C45" s="21"/>
      <c r="D45" s="21"/>
    </row>
    <row r="47" spans="1:4">
      <c r="A47" s="4" t="s">
        <v>143</v>
      </c>
    </row>
    <row r="48" spans="1:4">
      <c r="A48" s="3" t="s">
        <v>123</v>
      </c>
    </row>
  </sheetData>
  <customSheetViews>
    <customSheetView guid="{9E4C61FA-E6D1-438A-8921-8C22C886D6BA}" showRuler="0">
      <selection activeCell="B12" sqref="B12:C14"/>
      <pageMargins left="0.78740157499999996" right="0.78740157499999996" top="0.984251969" bottom="0.984251969" header="0.4921259845" footer="0.4921259845"/>
      <pageSetup paperSize="9" orientation="portrait" horizontalDpi="120" r:id="rId1"/>
      <headerFooter alignWithMargins="0"/>
    </customSheetView>
  </customSheetViews>
  <mergeCells count="2">
    <mergeCell ref="A45:D45"/>
    <mergeCell ref="A44:D44"/>
  </mergeCells>
  <phoneticPr fontId="2" type="noConversion"/>
  <hyperlinks>
    <hyperlink ref="A4" location="Inhalt!A1" display="&lt;&lt;&lt; Inhalt" xr:uid="{B7D9C8D5-2B84-43F5-8320-104490A03B4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7"/>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321</v>
      </c>
    </row>
    <row r="2" spans="1:4">
      <c r="A2" s="3" t="s">
        <v>246</v>
      </c>
    </row>
    <row r="4" spans="1:4">
      <c r="A4" s="40" t="s">
        <v>551</v>
      </c>
    </row>
    <row r="6" spans="1:4">
      <c r="A6" s="3" t="s">
        <v>519</v>
      </c>
    </row>
    <row r="8" spans="1:4">
      <c r="A8" s="24"/>
      <c r="B8" s="24" t="s">
        <v>466</v>
      </c>
      <c r="C8" s="24" t="s">
        <v>480</v>
      </c>
      <c r="D8" s="24" t="s">
        <v>152</v>
      </c>
    </row>
    <row r="10" spans="1:4">
      <c r="A10" s="3" t="s">
        <v>63</v>
      </c>
    </row>
    <row r="11" spans="1:4">
      <c r="A11" s="3" t="s">
        <v>64</v>
      </c>
      <c r="B11" s="30" t="s">
        <v>85</v>
      </c>
      <c r="C11" s="30" t="s">
        <v>85</v>
      </c>
      <c r="D11" s="26" t="s">
        <v>89</v>
      </c>
    </row>
    <row r="12" spans="1:4">
      <c r="A12" s="3" t="s">
        <v>66</v>
      </c>
      <c r="B12" s="30">
        <f>'2.9.1'!B30/0.01</f>
        <v>372027744</v>
      </c>
      <c r="C12" s="30">
        <f>'2.9.1'!C30/0.01</f>
        <v>478691553</v>
      </c>
      <c r="D12" s="26">
        <f>C12/B12-1</f>
        <v>0.2867092863912859</v>
      </c>
    </row>
    <row r="13" spans="1:4">
      <c r="A13" s="3" t="s">
        <v>65</v>
      </c>
      <c r="B13" s="30" t="s">
        <v>85</v>
      </c>
      <c r="C13" s="30" t="s">
        <v>85</v>
      </c>
      <c r="D13" s="26" t="s">
        <v>89</v>
      </c>
    </row>
    <row r="14" spans="1:4">
      <c r="B14" s="30"/>
      <c r="C14" s="30"/>
      <c r="D14" s="26"/>
    </row>
    <row r="15" spans="1:4">
      <c r="A15" s="3" t="s">
        <v>67</v>
      </c>
      <c r="B15" s="30"/>
      <c r="C15" s="30"/>
      <c r="D15" s="26"/>
    </row>
    <row r="16" spans="1:4">
      <c r="A16" s="3" t="s">
        <v>68</v>
      </c>
      <c r="B16" s="30">
        <f>'2.9.1'!B34/0.0015</f>
        <v>2436289726.6666665</v>
      </c>
      <c r="C16" s="30">
        <f>'2.9.1'!C34/0.0015</f>
        <v>2632983433.333333</v>
      </c>
      <c r="D16" s="26">
        <f>C16/B16-1</f>
        <v>8.0734940723073523E-2</v>
      </c>
    </row>
    <row r="17" spans="1:4">
      <c r="A17" s="3" t="s">
        <v>69</v>
      </c>
      <c r="B17" s="30">
        <f>'2.9.1'!B35/0.003</f>
        <v>9595519623.333334</v>
      </c>
      <c r="C17" s="30">
        <f>'2.9.1'!C35/0.003</f>
        <v>11989483263.333332</v>
      </c>
      <c r="D17" s="26">
        <f>C17/B17-1</f>
        <v>0.24948764985885896</v>
      </c>
    </row>
    <row r="18" spans="1:4">
      <c r="B18" s="30"/>
      <c r="C18" s="30"/>
      <c r="D18" s="26"/>
    </row>
    <row r="19" spans="1:4">
      <c r="A19" s="3" t="s">
        <v>70</v>
      </c>
      <c r="B19" s="30" t="s">
        <v>85</v>
      </c>
      <c r="C19" s="30" t="s">
        <v>85</v>
      </c>
      <c r="D19" s="26" t="s">
        <v>89</v>
      </c>
    </row>
    <row r="21" spans="1:4">
      <c r="A21" s="4" t="s">
        <v>330</v>
      </c>
    </row>
    <row r="22" spans="1:4" ht="39.75" customHeight="1">
      <c r="A22" s="21" t="s">
        <v>196</v>
      </c>
      <c r="B22" s="21"/>
      <c r="C22" s="21"/>
      <c r="D22" s="21"/>
    </row>
    <row r="23" spans="1:4" ht="38.25" customHeight="1">
      <c r="A23" s="21" t="s">
        <v>197</v>
      </c>
      <c r="B23" s="21"/>
      <c r="C23" s="21"/>
      <c r="D23" s="21"/>
    </row>
    <row r="24" spans="1:4" ht="39.75" customHeight="1">
      <c r="A24" s="21" t="s">
        <v>494</v>
      </c>
      <c r="B24" s="21"/>
      <c r="C24" s="21"/>
      <c r="D24" s="21"/>
    </row>
    <row r="26" spans="1:4">
      <c r="A26" s="4" t="s">
        <v>143</v>
      </c>
    </row>
    <row r="27" spans="1:4">
      <c r="A27" s="3" t="s">
        <v>123</v>
      </c>
    </row>
  </sheetData>
  <customSheetViews>
    <customSheetView guid="{9E4C61FA-E6D1-438A-8921-8C22C886D6BA}" showRuler="0" topLeftCell="A8">
      <selection activeCell="B13" sqref="B13"/>
      <pageMargins left="0.78740157499999996" right="0.78740157499999996" top="0.984251969" bottom="0.984251969" header="0.4921259845" footer="0.4921259845"/>
      <pageSetup paperSize="9" orientation="portrait" r:id="rId1"/>
      <headerFooter alignWithMargins="0"/>
    </customSheetView>
  </customSheetViews>
  <mergeCells count="3">
    <mergeCell ref="A22:D22"/>
    <mergeCell ref="A23:D23"/>
    <mergeCell ref="A24:D24"/>
  </mergeCells>
  <phoneticPr fontId="2" type="noConversion"/>
  <hyperlinks>
    <hyperlink ref="A4" location="Inhalt!A1" display="&lt;&lt;&lt; Inhalt" xr:uid="{30010411-A264-4B97-989B-F5E26BE85411}"/>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9"/>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322</v>
      </c>
    </row>
    <row r="2" spans="1:4">
      <c r="A2" s="3" t="s">
        <v>246</v>
      </c>
    </row>
    <row r="4" spans="1:4">
      <c r="A4" s="40" t="s">
        <v>551</v>
      </c>
    </row>
    <row r="6" spans="1:4">
      <c r="A6" s="3" t="s">
        <v>520</v>
      </c>
    </row>
    <row r="8" spans="1:4">
      <c r="A8" s="24"/>
      <c r="B8" s="24" t="s">
        <v>466</v>
      </c>
      <c r="C8" s="24" t="s">
        <v>480</v>
      </c>
      <c r="D8" s="24" t="s">
        <v>152</v>
      </c>
    </row>
    <row r="10" spans="1:4">
      <c r="A10" s="3" t="s">
        <v>334</v>
      </c>
      <c r="B10" s="30">
        <v>168456</v>
      </c>
      <c r="C10" s="30">
        <v>114245</v>
      </c>
      <c r="D10" s="26">
        <f>C10/B10-1</f>
        <v>-0.32181103670988265</v>
      </c>
    </row>
    <row r="11" spans="1:4">
      <c r="A11" s="3" t="s">
        <v>346</v>
      </c>
      <c r="B11" s="30">
        <v>-3613</v>
      </c>
      <c r="C11" s="30">
        <v>-307</v>
      </c>
      <c r="D11" s="26">
        <f>C11/B11-1</f>
        <v>-0.91502906172156107</v>
      </c>
    </row>
    <row r="12" spans="1:4">
      <c r="A12" s="3" t="s">
        <v>101</v>
      </c>
      <c r="B12" s="30">
        <f>B10-B11</f>
        <v>172069</v>
      </c>
      <c r="C12" s="30">
        <f>C10-C11</f>
        <v>114552</v>
      </c>
      <c r="D12" s="26">
        <f>C12/B12-1</f>
        <v>-0.33426706728114886</v>
      </c>
    </row>
    <row r="13" spans="1:4">
      <c r="B13" s="30"/>
      <c r="C13" s="30"/>
      <c r="D13" s="26"/>
    </row>
    <row r="14" spans="1:4">
      <c r="A14" s="3" t="s">
        <v>13</v>
      </c>
      <c r="B14" s="30">
        <v>480</v>
      </c>
      <c r="C14" s="30">
        <v>458</v>
      </c>
      <c r="D14" s="26">
        <f>C14/B14-1</f>
        <v>-4.5833333333333282E-2</v>
      </c>
    </row>
    <row r="15" spans="1:4">
      <c r="B15" s="30"/>
      <c r="C15" s="30"/>
      <c r="D15" s="26"/>
    </row>
    <row r="16" spans="1:4">
      <c r="A16" s="3" t="s">
        <v>59</v>
      </c>
      <c r="B16" s="30">
        <f>B12/B14</f>
        <v>358.47708333333333</v>
      </c>
      <c r="C16" s="30">
        <f>C12/C14</f>
        <v>250.11353711790392</v>
      </c>
      <c r="D16" s="26">
        <f>C16/B16-1</f>
        <v>-0.30228862946495949</v>
      </c>
    </row>
    <row r="18" spans="1:1">
      <c r="A18" s="4" t="s">
        <v>143</v>
      </c>
    </row>
    <row r="19" spans="1:1">
      <c r="A19" s="3" t="s">
        <v>153</v>
      </c>
    </row>
  </sheetData>
  <customSheetViews>
    <customSheetView guid="{9E4C61FA-E6D1-438A-8921-8C22C886D6BA}" showRuler="0">
      <selection activeCell="A18" sqref="A18"/>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61F8A50B-1048-4382-AF54-881B4AFF01FC}"/>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96"/>
  <sheetViews>
    <sheetView tabSelected="1" zoomScaleNormal="100" workbookViewId="0"/>
  </sheetViews>
  <sheetFormatPr baseColWidth="10" defaultRowHeight="12.75"/>
  <cols>
    <col min="1" max="1" width="103" style="3" customWidth="1"/>
    <col min="2" max="2" width="7.42578125" style="2" customWidth="1"/>
    <col min="3" max="16384" width="11.42578125" style="3"/>
  </cols>
  <sheetData>
    <row r="1" spans="1:2" s="22" customFormat="1" ht="15.75">
      <c r="A1" s="1" t="s">
        <v>571</v>
      </c>
      <c r="B1" s="42"/>
    </row>
    <row r="3" spans="1:2">
      <c r="A3" s="4" t="s">
        <v>477</v>
      </c>
      <c r="B3" s="5" t="s">
        <v>478</v>
      </c>
    </row>
    <row r="4" spans="1:2">
      <c r="A4" s="43" t="s">
        <v>385</v>
      </c>
      <c r="B4" s="44"/>
    </row>
    <row r="5" spans="1:2">
      <c r="A5" s="6" t="s">
        <v>242</v>
      </c>
      <c r="B5" s="7">
        <v>1.1000000000000001</v>
      </c>
    </row>
    <row r="6" spans="1:2">
      <c r="A6" s="6" t="s">
        <v>244</v>
      </c>
      <c r="B6" s="7">
        <v>1.2</v>
      </c>
    </row>
    <row r="7" spans="1:2">
      <c r="B7" s="8"/>
    </row>
    <row r="8" spans="1:2">
      <c r="A8" s="43" t="s">
        <v>386</v>
      </c>
      <c r="B8" s="45"/>
    </row>
    <row r="9" spans="1:2">
      <c r="A9" s="46" t="s">
        <v>216</v>
      </c>
      <c r="B9" s="47"/>
    </row>
    <row r="10" spans="1:2">
      <c r="A10" s="6" t="s">
        <v>307</v>
      </c>
      <c r="B10" s="7" t="s">
        <v>387</v>
      </c>
    </row>
    <row r="11" spans="1:2">
      <c r="A11" s="6" t="s">
        <v>308</v>
      </c>
      <c r="B11" s="7" t="s">
        <v>388</v>
      </c>
    </row>
    <row r="12" spans="1:2">
      <c r="A12" s="6" t="s">
        <v>309</v>
      </c>
      <c r="B12" s="7" t="s">
        <v>389</v>
      </c>
    </row>
    <row r="13" spans="1:2">
      <c r="A13" s="6" t="s">
        <v>310</v>
      </c>
      <c r="B13" s="7" t="s">
        <v>390</v>
      </c>
    </row>
    <row r="14" spans="1:2">
      <c r="A14" s="46" t="s">
        <v>32</v>
      </c>
      <c r="B14" s="47"/>
    </row>
    <row r="15" spans="1:2">
      <c r="A15" s="6" t="s">
        <v>267</v>
      </c>
      <c r="B15" s="7" t="s">
        <v>391</v>
      </c>
    </row>
    <row r="16" spans="1:2">
      <c r="A16" s="6" t="s">
        <v>277</v>
      </c>
      <c r="B16" s="7" t="s">
        <v>392</v>
      </c>
    </row>
    <row r="17" spans="1:2">
      <c r="A17" s="6" t="s">
        <v>268</v>
      </c>
      <c r="B17" s="7" t="s">
        <v>393</v>
      </c>
    </row>
    <row r="18" spans="1:2">
      <c r="A18" s="6" t="s">
        <v>276</v>
      </c>
      <c r="B18" s="7" t="s">
        <v>394</v>
      </c>
    </row>
    <row r="19" spans="1:2">
      <c r="A19" s="6" t="s">
        <v>311</v>
      </c>
      <c r="B19" s="7" t="s">
        <v>395</v>
      </c>
    </row>
    <row r="20" spans="1:2">
      <c r="A20" s="6" t="s">
        <v>312</v>
      </c>
      <c r="B20" s="7" t="s">
        <v>396</v>
      </c>
    </row>
    <row r="21" spans="1:2">
      <c r="A21" s="6" t="s">
        <v>298</v>
      </c>
      <c r="B21" s="7" t="s">
        <v>397</v>
      </c>
    </row>
    <row r="22" spans="1:2">
      <c r="A22" s="46" t="s">
        <v>1</v>
      </c>
      <c r="B22" s="47"/>
    </row>
    <row r="23" spans="1:2">
      <c r="A23" s="6" t="s">
        <v>269</v>
      </c>
      <c r="B23" s="7" t="s">
        <v>398</v>
      </c>
    </row>
    <row r="24" spans="1:2">
      <c r="A24" s="6" t="s">
        <v>270</v>
      </c>
      <c r="B24" s="7" t="s">
        <v>399</v>
      </c>
    </row>
    <row r="25" spans="1:2">
      <c r="A25" s="6" t="s">
        <v>271</v>
      </c>
      <c r="B25" s="7" t="s">
        <v>400</v>
      </c>
    </row>
    <row r="26" spans="1:2">
      <c r="A26" s="6" t="s">
        <v>272</v>
      </c>
      <c r="B26" s="7" t="s">
        <v>401</v>
      </c>
    </row>
    <row r="27" spans="1:2">
      <c r="A27" s="46" t="s">
        <v>2</v>
      </c>
      <c r="B27" s="47"/>
    </row>
    <row r="28" spans="1:2">
      <c r="A28" s="6" t="s">
        <v>313</v>
      </c>
      <c r="B28" s="7" t="s">
        <v>402</v>
      </c>
    </row>
    <row r="29" spans="1:2">
      <c r="A29" s="6" t="s">
        <v>314</v>
      </c>
      <c r="B29" s="7" t="s">
        <v>403</v>
      </c>
    </row>
    <row r="30" spans="1:2">
      <c r="A30" s="6" t="s">
        <v>315</v>
      </c>
      <c r="B30" s="7" t="s">
        <v>404</v>
      </c>
    </row>
    <row r="31" spans="1:2">
      <c r="A31" s="6" t="s">
        <v>331</v>
      </c>
      <c r="B31" s="7" t="s">
        <v>405</v>
      </c>
    </row>
    <row r="32" spans="1:2">
      <c r="A32" s="46" t="s">
        <v>406</v>
      </c>
      <c r="B32" s="47"/>
    </row>
    <row r="33" spans="1:2">
      <c r="A33" s="6" t="s">
        <v>316</v>
      </c>
      <c r="B33" s="9" t="s">
        <v>407</v>
      </c>
    </row>
    <row r="34" spans="1:2">
      <c r="A34" s="6" t="s">
        <v>332</v>
      </c>
      <c r="B34" s="7" t="s">
        <v>408</v>
      </c>
    </row>
    <row r="35" spans="1:2">
      <c r="A35" s="46" t="s">
        <v>57</v>
      </c>
      <c r="B35" s="47"/>
    </row>
    <row r="36" spans="1:2">
      <c r="A36" s="6" t="s">
        <v>317</v>
      </c>
      <c r="B36" s="7" t="s">
        <v>409</v>
      </c>
    </row>
    <row r="37" spans="1:2">
      <c r="A37" s="46" t="s">
        <v>3</v>
      </c>
      <c r="B37" s="47"/>
    </row>
    <row r="38" spans="1:2">
      <c r="A38" s="6" t="s">
        <v>318</v>
      </c>
      <c r="B38" s="7" t="s">
        <v>410</v>
      </c>
    </row>
    <row r="39" spans="1:2">
      <c r="A39" s="46" t="s">
        <v>4</v>
      </c>
      <c r="B39" s="47"/>
    </row>
    <row r="40" spans="1:2">
      <c r="A40" s="6" t="s">
        <v>319</v>
      </c>
      <c r="B40" s="7" t="s">
        <v>411</v>
      </c>
    </row>
    <row r="41" spans="1:2">
      <c r="A41" s="6" t="s">
        <v>320</v>
      </c>
      <c r="B41" s="7" t="s">
        <v>412</v>
      </c>
    </row>
    <row r="42" spans="1:2">
      <c r="A42" s="6" t="s">
        <v>321</v>
      </c>
      <c r="B42" s="7" t="s">
        <v>413</v>
      </c>
    </row>
    <row r="43" spans="1:2">
      <c r="A43" s="46" t="s">
        <v>82</v>
      </c>
      <c r="B43" s="47"/>
    </row>
    <row r="44" spans="1:2">
      <c r="A44" s="6" t="s">
        <v>322</v>
      </c>
      <c r="B44" s="7" t="s">
        <v>414</v>
      </c>
    </row>
    <row r="45" spans="1:2">
      <c r="A45" s="46" t="s">
        <v>415</v>
      </c>
      <c r="B45" s="47"/>
    </row>
    <row r="46" spans="1:2">
      <c r="A46" s="6" t="s">
        <v>323</v>
      </c>
      <c r="B46" s="7" t="s">
        <v>416</v>
      </c>
    </row>
    <row r="47" spans="1:2">
      <c r="A47" s="6" t="s">
        <v>324</v>
      </c>
      <c r="B47" s="7" t="s">
        <v>417</v>
      </c>
    </row>
    <row r="48" spans="1:2">
      <c r="A48" s="6" t="s">
        <v>325</v>
      </c>
      <c r="B48" s="7" t="s">
        <v>418</v>
      </c>
    </row>
    <row r="49" spans="1:2">
      <c r="A49" s="46" t="s">
        <v>14</v>
      </c>
      <c r="B49" s="47"/>
    </row>
    <row r="50" spans="1:2">
      <c r="A50" s="6" t="s">
        <v>326</v>
      </c>
      <c r="B50" s="10" t="s">
        <v>419</v>
      </c>
    </row>
    <row r="51" spans="1:2">
      <c r="A51" s="6" t="s">
        <v>327</v>
      </c>
      <c r="B51" s="7" t="s">
        <v>420</v>
      </c>
    </row>
    <row r="52" spans="1:2">
      <c r="A52" s="46" t="s">
        <v>421</v>
      </c>
      <c r="B52" s="47"/>
    </row>
    <row r="53" spans="1:2">
      <c r="A53" s="6" t="s">
        <v>328</v>
      </c>
      <c r="B53" s="7" t="s">
        <v>422</v>
      </c>
    </row>
    <row r="54" spans="1:2">
      <c r="A54" s="6" t="s">
        <v>329</v>
      </c>
      <c r="B54" s="7" t="s">
        <v>423</v>
      </c>
    </row>
    <row r="55" spans="1:2">
      <c r="B55" s="8"/>
    </row>
    <row r="56" spans="1:2">
      <c r="A56" s="43" t="s">
        <v>424</v>
      </c>
      <c r="B56" s="45"/>
    </row>
    <row r="57" spans="1:2">
      <c r="A57" s="46" t="s">
        <v>425</v>
      </c>
      <c r="B57" s="47"/>
    </row>
    <row r="58" spans="1:2">
      <c r="A58" s="6" t="s">
        <v>265</v>
      </c>
      <c r="B58" s="7" t="s">
        <v>378</v>
      </c>
    </row>
    <row r="59" spans="1:2">
      <c r="A59" s="6" t="s">
        <v>247</v>
      </c>
      <c r="B59" s="7" t="s">
        <v>426</v>
      </c>
    </row>
    <row r="60" spans="1:2">
      <c r="A60" s="46" t="s">
        <v>427</v>
      </c>
      <c r="B60" s="47"/>
    </row>
    <row r="61" spans="1:2">
      <c r="A61" s="6" t="s">
        <v>248</v>
      </c>
      <c r="B61" s="7" t="s">
        <v>379</v>
      </c>
    </row>
    <row r="62" spans="1:2">
      <c r="A62" s="6" t="s">
        <v>249</v>
      </c>
      <c r="B62" s="7" t="s">
        <v>428</v>
      </c>
    </row>
    <row r="63" spans="1:2">
      <c r="A63" s="6" t="s">
        <v>250</v>
      </c>
      <c r="B63" s="7" t="s">
        <v>380</v>
      </c>
    </row>
    <row r="64" spans="1:2">
      <c r="A64" s="46" t="s">
        <v>429</v>
      </c>
      <c r="B64" s="47"/>
    </row>
    <row r="65" spans="1:2">
      <c r="A65" s="6" t="s">
        <v>252</v>
      </c>
      <c r="B65" s="7" t="s">
        <v>381</v>
      </c>
    </row>
    <row r="66" spans="1:2">
      <c r="A66" s="6" t="s">
        <v>253</v>
      </c>
      <c r="B66" s="7" t="s">
        <v>430</v>
      </c>
    </row>
    <row r="67" spans="1:2">
      <c r="B67" s="8"/>
    </row>
    <row r="68" spans="1:2">
      <c r="A68" s="43" t="s">
        <v>431</v>
      </c>
      <c r="B68" s="45"/>
    </row>
    <row r="69" spans="1:2">
      <c r="A69" s="46" t="s">
        <v>432</v>
      </c>
      <c r="B69" s="47"/>
    </row>
    <row r="70" spans="1:2">
      <c r="A70" s="6" t="s">
        <v>255</v>
      </c>
      <c r="B70" s="7" t="s">
        <v>433</v>
      </c>
    </row>
    <row r="71" spans="1:2">
      <c r="A71" s="6" t="s">
        <v>256</v>
      </c>
      <c r="B71" s="7" t="s">
        <v>434</v>
      </c>
    </row>
    <row r="72" spans="1:2">
      <c r="A72" s="46" t="s">
        <v>435</v>
      </c>
      <c r="B72" s="47"/>
    </row>
    <row r="73" spans="1:2">
      <c r="A73" s="6" t="s">
        <v>264</v>
      </c>
      <c r="B73" s="7" t="s">
        <v>436</v>
      </c>
    </row>
    <row r="74" spans="1:2">
      <c r="A74" s="6" t="s">
        <v>257</v>
      </c>
      <c r="B74" s="7" t="s">
        <v>437</v>
      </c>
    </row>
    <row r="75" spans="1:2">
      <c r="A75" s="46" t="s">
        <v>438</v>
      </c>
      <c r="B75" s="47"/>
    </row>
    <row r="76" spans="1:2">
      <c r="A76" s="6" t="s">
        <v>258</v>
      </c>
      <c r="B76" s="7" t="s">
        <v>439</v>
      </c>
    </row>
    <row r="77" spans="1:2">
      <c r="A77" s="6" t="s">
        <v>259</v>
      </c>
      <c r="B77" s="7" t="s">
        <v>440</v>
      </c>
    </row>
    <row r="78" spans="1:2">
      <c r="A78" s="46" t="s">
        <v>441</v>
      </c>
      <c r="B78" s="47"/>
    </row>
    <row r="79" spans="1:2">
      <c r="A79" s="6" t="s">
        <v>261</v>
      </c>
      <c r="B79" s="7" t="s">
        <v>442</v>
      </c>
    </row>
    <row r="80" spans="1:2">
      <c r="A80" s="6" t="s">
        <v>260</v>
      </c>
      <c r="B80" s="7" t="s">
        <v>443</v>
      </c>
    </row>
    <row r="81" spans="1:2">
      <c r="B81" s="8"/>
    </row>
    <row r="82" spans="1:2">
      <c r="A82" s="43" t="s">
        <v>444</v>
      </c>
      <c r="B82" s="43"/>
    </row>
    <row r="83" spans="1:2">
      <c r="A83" s="46" t="s">
        <v>445</v>
      </c>
      <c r="B83" s="47"/>
    </row>
    <row r="84" spans="1:2">
      <c r="A84" s="6" t="s">
        <v>446</v>
      </c>
      <c r="B84" s="7" t="s">
        <v>447</v>
      </c>
    </row>
    <row r="85" spans="1:2">
      <c r="A85" s="6" t="s">
        <v>448</v>
      </c>
      <c r="B85" s="7" t="s">
        <v>449</v>
      </c>
    </row>
    <row r="86" spans="1:2">
      <c r="A86" s="46" t="s">
        <v>450</v>
      </c>
      <c r="B86" s="47"/>
    </row>
    <row r="87" spans="1:2">
      <c r="A87" s="6" t="s">
        <v>451</v>
      </c>
      <c r="B87" s="7" t="s">
        <v>452</v>
      </c>
    </row>
    <row r="88" spans="1:2">
      <c r="A88" s="6" t="s">
        <v>453</v>
      </c>
      <c r="B88" s="7" t="s">
        <v>454</v>
      </c>
    </row>
    <row r="89" spans="1:2">
      <c r="B89" s="8"/>
    </row>
    <row r="90" spans="1:2">
      <c r="A90" s="43" t="s">
        <v>455</v>
      </c>
      <c r="B90" s="45"/>
    </row>
    <row r="91" spans="1:2">
      <c r="A91" s="6" t="s">
        <v>262</v>
      </c>
      <c r="B91" s="7" t="s">
        <v>456</v>
      </c>
    </row>
    <row r="92" spans="1:2">
      <c r="A92" s="6" t="s">
        <v>278</v>
      </c>
      <c r="B92" s="7" t="s">
        <v>457</v>
      </c>
    </row>
    <row r="93" spans="1:2">
      <c r="A93" s="6" t="s">
        <v>340</v>
      </c>
      <c r="B93" s="7" t="s">
        <v>458</v>
      </c>
    </row>
    <row r="94" spans="1:2">
      <c r="A94" s="6" t="s">
        <v>279</v>
      </c>
      <c r="B94" s="7" t="s">
        <v>459</v>
      </c>
    </row>
    <row r="95" spans="1:2">
      <c r="A95" s="6" t="s">
        <v>280</v>
      </c>
      <c r="B95" s="7" t="s">
        <v>460</v>
      </c>
    </row>
    <row r="96" spans="1:2">
      <c r="A96" s="6" t="s">
        <v>281</v>
      </c>
      <c r="B96" s="7" t="s">
        <v>461</v>
      </c>
    </row>
  </sheetData>
  <hyperlinks>
    <hyperlink ref="B5" location="'1'!A1" display="'1'!A1" xr:uid="{00000000-0004-0000-0000-000000000000}"/>
    <hyperlink ref="B6" location="'1'!A1" display="'1'!A1" xr:uid="{00000000-0004-0000-0000-000001000000}"/>
    <hyperlink ref="B10" location="'2.1.1'!A1" display="2.1.1" xr:uid="{00000000-0004-0000-0000-000002000000}"/>
    <hyperlink ref="B11" location="'2.1.1'!A1" display="2.1.2" xr:uid="{00000000-0004-0000-0000-000003000000}"/>
    <hyperlink ref="B12" location="'2.1.3'!A1" display="2.1.3" xr:uid="{00000000-0004-0000-0000-000004000000}"/>
    <hyperlink ref="B13" location="'2.1.3'!A1" display="2.1.4" xr:uid="{00000000-0004-0000-0000-000005000000}"/>
    <hyperlink ref="B15" location="'2.2.1'!A1" display="2.2.1" xr:uid="{00000000-0004-0000-0000-000006000000}"/>
    <hyperlink ref="B16" location="'2.2.1'!A1" display="2.2.2" xr:uid="{00000000-0004-0000-0000-000007000000}"/>
    <hyperlink ref="B17" location="'2.2.3'!A1" display="2.2.3" xr:uid="{00000000-0004-0000-0000-000008000000}"/>
    <hyperlink ref="B18" location="'2.2.3'!A1" display="2.2.4" xr:uid="{00000000-0004-0000-0000-000009000000}"/>
    <hyperlink ref="B19" location="'2.2.5'!A1" display="2.2.5" xr:uid="{00000000-0004-0000-0000-00000A000000}"/>
    <hyperlink ref="B20" location="'2.2.6'!A1" display="2.2.6" xr:uid="{00000000-0004-0000-0000-00000B000000}"/>
    <hyperlink ref="B21" location="'2.2.7'!A1" display="2.2.7" xr:uid="{00000000-0004-0000-0000-00000C000000}"/>
    <hyperlink ref="B23" location="'2.3.1'!A1" display="2.3.1" xr:uid="{00000000-0004-0000-0000-00000D000000}"/>
    <hyperlink ref="B24" location="'2.3.1'!A1" display="2.3.2" xr:uid="{00000000-0004-0000-0000-00000E000000}"/>
    <hyperlink ref="B25" location="'2.3.3'!A1" display="2.3.3" xr:uid="{00000000-0004-0000-0000-00000F000000}"/>
    <hyperlink ref="B26" location="'2.3.3'!A1" display="2.3.4" xr:uid="{00000000-0004-0000-0000-000010000000}"/>
    <hyperlink ref="B28" location="'2.4.1'!A1" display="2.4.1" xr:uid="{00000000-0004-0000-0000-000011000000}"/>
    <hyperlink ref="B29" location="'2.4.1'!A1" display="2.4.2" xr:uid="{00000000-0004-0000-0000-000012000000}"/>
    <hyperlink ref="B30" location="'2.4.3'!A1" display="2.4.3" xr:uid="{00000000-0004-0000-0000-000013000000}"/>
    <hyperlink ref="B31" location="'2.4.3'!A1" display="2.4.4" xr:uid="{00000000-0004-0000-0000-000014000000}"/>
    <hyperlink ref="B33" location="'2.5.1'!A1" display="2.5.1" xr:uid="{00000000-0004-0000-0000-000015000000}"/>
    <hyperlink ref="B34" location="'2.5.1'!A1" display="2.5.2" xr:uid="{00000000-0004-0000-0000-000016000000}"/>
    <hyperlink ref="B36" location="'2.6.1'!A1" display="2.6.1" xr:uid="{00000000-0004-0000-0000-000017000000}"/>
    <hyperlink ref="B38" location="'2.8.1'!A1" display="2.8.1" xr:uid="{00000000-0004-0000-0000-000018000000}"/>
    <hyperlink ref="B40" location="'2.9.1'!A1" display="2.9.1" xr:uid="{00000000-0004-0000-0000-000019000000}"/>
    <hyperlink ref="B41" location="'2.9.1'!A1" display="2.9.2" xr:uid="{00000000-0004-0000-0000-00001A000000}"/>
    <hyperlink ref="B42" location="'2.9.3'!A1" display="2.9.3" xr:uid="{00000000-0004-0000-0000-00001B000000}"/>
    <hyperlink ref="B44" location="'2.10.1'!A1" display="2.10.1" xr:uid="{00000000-0004-0000-0000-00001C000000}"/>
    <hyperlink ref="B46" location="'2.11.1'!A1" display="2.11.1" xr:uid="{00000000-0004-0000-0000-00001D000000}"/>
    <hyperlink ref="B47" location="'2.11.1'!A1" display="2.11.2" xr:uid="{00000000-0004-0000-0000-00001E000000}"/>
    <hyperlink ref="B48" location="'2.11.3'!A1" display="2.11.3" xr:uid="{00000000-0004-0000-0000-00001F000000}"/>
    <hyperlink ref="B50" location="'2.13.1'!A1" display="2.13.1" xr:uid="{00000000-0004-0000-0000-000020000000}"/>
    <hyperlink ref="B51" location="'2.13.1'!A1" display="2.13.2" xr:uid="{00000000-0004-0000-0000-000021000000}"/>
    <hyperlink ref="B53" location="'2.14.1'!A1" display="2.14.1" xr:uid="{00000000-0004-0000-0000-000022000000}"/>
    <hyperlink ref="B54" location="'2.14.1'!A1" display="2.14.2" xr:uid="{00000000-0004-0000-0000-000023000000}"/>
    <hyperlink ref="B58" location="'3.1.1'!A1" display="3.1.1" xr:uid="{00000000-0004-0000-0000-000024000000}"/>
    <hyperlink ref="B59" location="'3.1.1'!A1" display="3.1.2" xr:uid="{00000000-0004-0000-0000-000025000000}"/>
    <hyperlink ref="B61" location="'3.2.1'!A1" display="3.2.1" xr:uid="{00000000-0004-0000-0000-000026000000}"/>
    <hyperlink ref="B62" location="'3.2.1'!A1" display="3.2.2" xr:uid="{00000000-0004-0000-0000-000027000000}"/>
    <hyperlink ref="B63" location="'3.2.3'!A1" display="3.2.3" xr:uid="{00000000-0004-0000-0000-000028000000}"/>
    <hyperlink ref="B65" location="'3.3.1'!A1" display="3.3.1" xr:uid="{00000000-0004-0000-0000-000029000000}"/>
    <hyperlink ref="B66" location="'3.3.1'!A1" display="3.3.2" xr:uid="{00000000-0004-0000-0000-00002A000000}"/>
    <hyperlink ref="B70" location="'4.1'!A1" display="4.1.1" xr:uid="{00000000-0004-0000-0000-00002B000000}"/>
    <hyperlink ref="B71" location="'4.1'!A1" display="4.1.2" xr:uid="{00000000-0004-0000-0000-00002C000000}"/>
    <hyperlink ref="B73" location="'4.2'!A1" display="4.2.1" xr:uid="{00000000-0004-0000-0000-00002D000000}"/>
    <hyperlink ref="B74" location="'4.2'!A1" display="4.2.2" xr:uid="{00000000-0004-0000-0000-00002E000000}"/>
    <hyperlink ref="B76" location="'4.3'!A1" display="4.3.1" xr:uid="{00000000-0004-0000-0000-00002F000000}"/>
    <hyperlink ref="B77" location="'4.3'!A1" display="4.3.2" xr:uid="{00000000-0004-0000-0000-000030000000}"/>
    <hyperlink ref="B79" location="'4.4'!A1" display="4.4.1" xr:uid="{00000000-0004-0000-0000-000031000000}"/>
    <hyperlink ref="B80" location="'4.4'!A1" display="4.4.2" xr:uid="{00000000-0004-0000-0000-000032000000}"/>
    <hyperlink ref="B84" location="'5.1'!A1" display="5.1.1" xr:uid="{00000000-0004-0000-0000-000033000000}"/>
    <hyperlink ref="B85" location="'5.1'!A1" display="5.1.2" xr:uid="{00000000-0004-0000-0000-000034000000}"/>
    <hyperlink ref="B87" location="'5.2'!A1" display="5.2.1" xr:uid="{00000000-0004-0000-0000-000035000000}"/>
    <hyperlink ref="B88" location="'5.2'!A1" display="5.2.2" xr:uid="{00000000-0004-0000-0000-000036000000}"/>
    <hyperlink ref="B91" location="'7.1'!A1" display="7.1" xr:uid="{00000000-0004-0000-0000-000053000000}"/>
    <hyperlink ref="B92" location="'7.2'!A1" display="7.2" xr:uid="{00000000-0004-0000-0000-000054000000}"/>
    <hyperlink ref="B93" location="'7.3'!A1" display="7.3" xr:uid="{00000000-0004-0000-0000-000055000000}"/>
    <hyperlink ref="B94" location="'7.4'!A1" display="7.4" xr:uid="{00000000-0004-0000-0000-000056000000}"/>
    <hyperlink ref="B95" location="'7.5'!A1" display="7.5" xr:uid="{00000000-0004-0000-0000-000057000000}"/>
    <hyperlink ref="B96" location="'7.6'!A1" display="7.6" xr:uid="{00000000-0004-0000-0000-000058000000}"/>
  </hyperlinks>
  <pageMargins left="0.7" right="0.7" top="0.78740157499999996" bottom="0.78740157499999996" header="0.3" footer="0.3"/>
  <pageSetup paperSize="9" scale="4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38"/>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323</v>
      </c>
    </row>
    <row r="2" spans="1:4">
      <c r="A2" s="3" t="s">
        <v>246</v>
      </c>
    </row>
    <row r="4" spans="1:4">
      <c r="A4" s="40" t="s">
        <v>551</v>
      </c>
    </row>
    <row r="6" spans="1:4">
      <c r="A6" s="3" t="s">
        <v>521</v>
      </c>
    </row>
    <row r="8" spans="1:4">
      <c r="A8" s="24"/>
      <c r="B8" s="24" t="s">
        <v>466</v>
      </c>
      <c r="C8" s="24" t="s">
        <v>480</v>
      </c>
      <c r="D8" s="24" t="s">
        <v>152</v>
      </c>
    </row>
    <row r="10" spans="1:4">
      <c r="A10" s="3" t="s">
        <v>334</v>
      </c>
      <c r="B10" s="30">
        <v>223720682</v>
      </c>
      <c r="C10" s="30">
        <v>220301763</v>
      </c>
      <c r="D10" s="26">
        <f>C10/B10-1</f>
        <v>-1.5282087330665273E-2</v>
      </c>
    </row>
    <row r="15" spans="1:4" ht="15.75">
      <c r="A15" s="23" t="s">
        <v>324</v>
      </c>
    </row>
    <row r="16" spans="1:4">
      <c r="A16" s="3" t="s">
        <v>246</v>
      </c>
    </row>
    <row r="18" spans="1:4">
      <c r="A18" s="3" t="s">
        <v>522</v>
      </c>
    </row>
    <row r="20" spans="1:4">
      <c r="A20" s="24"/>
      <c r="B20" s="24" t="s">
        <v>466</v>
      </c>
      <c r="C20" s="24" t="s">
        <v>480</v>
      </c>
      <c r="D20" s="24" t="s">
        <v>152</v>
      </c>
    </row>
    <row r="22" spans="1:4">
      <c r="A22" s="3" t="s">
        <v>88</v>
      </c>
      <c r="B22" s="30">
        <v>22651688548</v>
      </c>
      <c r="C22" s="30">
        <v>22234908353</v>
      </c>
      <c r="D22" s="26">
        <f>C22/B22-1</f>
        <v>-1.839951993498512E-2</v>
      </c>
    </row>
    <row r="23" spans="1:4">
      <c r="A23" s="3" t="s">
        <v>94</v>
      </c>
      <c r="B23" s="30">
        <v>-5709973768</v>
      </c>
      <c r="C23" s="30">
        <v>-6022424436</v>
      </c>
      <c r="D23" s="26">
        <f>C23/B23-1</f>
        <v>5.4720158217021142E-2</v>
      </c>
    </row>
    <row r="24" spans="1:4">
      <c r="A24" s="3" t="s">
        <v>95</v>
      </c>
      <c r="B24" s="30">
        <v>-80003766</v>
      </c>
      <c r="C24" s="30">
        <v>-91145043</v>
      </c>
      <c r="D24" s="26">
        <f>C24/B24-1</f>
        <v>0.13925940686342186</v>
      </c>
    </row>
    <row r="25" spans="1:4">
      <c r="A25" s="3" t="s">
        <v>87</v>
      </c>
      <c r="B25" s="30">
        <f>SUM(B22:B24)</f>
        <v>16861711014</v>
      </c>
      <c r="C25" s="30">
        <f>SUM(C22:C24)</f>
        <v>16121338874</v>
      </c>
      <c r="D25" s="26">
        <f>C25/B25-1</f>
        <v>-4.3908482323370412E-2</v>
      </c>
    </row>
    <row r="26" spans="1:4">
      <c r="B26" s="30"/>
      <c r="C26" s="30"/>
      <c r="D26" s="26"/>
    </row>
    <row r="27" spans="1:4">
      <c r="A27" s="3" t="s">
        <v>97</v>
      </c>
      <c r="B27" s="31">
        <v>8.5232699999999995E-3</v>
      </c>
      <c r="C27" s="31">
        <v>8.3169899999999998E-3</v>
      </c>
      <c r="D27" s="26">
        <f>C27/B27-1</f>
        <v>-2.4201978817988801E-2</v>
      </c>
    </row>
    <row r="28" spans="1:4">
      <c r="A28" s="3" t="s">
        <v>96</v>
      </c>
      <c r="B28" s="30">
        <f>B25*B27</f>
        <v>143716915.63429576</v>
      </c>
      <c r="C28" s="30">
        <f>C25*C27</f>
        <v>134081014.20166926</v>
      </c>
      <c r="D28" s="26">
        <f>C28/B28-1</f>
        <v>-6.7047788982238954E-2</v>
      </c>
    </row>
    <row r="29" spans="1:4">
      <c r="A29" s="3" t="s">
        <v>486</v>
      </c>
      <c r="B29" s="30">
        <v>0</v>
      </c>
      <c r="C29" s="30">
        <v>-4924294</v>
      </c>
      <c r="D29" s="26" t="s">
        <v>89</v>
      </c>
    </row>
    <row r="30" spans="1:4">
      <c r="B30" s="30"/>
      <c r="C30" s="30"/>
      <c r="D30" s="26"/>
    </row>
    <row r="31" spans="1:4">
      <c r="A31" s="3" t="s">
        <v>98</v>
      </c>
      <c r="B31" s="30">
        <f>B24*(-1)+B28</f>
        <v>223720681.63429576</v>
      </c>
      <c r="C31" s="30">
        <f>C24*(-1)+C28+C29</f>
        <v>220301763.20166928</v>
      </c>
      <c r="D31" s="26">
        <f>C31/B31-1</f>
        <v>-1.5282084819566277E-2</v>
      </c>
    </row>
    <row r="33" spans="1:4">
      <c r="A33" s="4" t="s">
        <v>306</v>
      </c>
    </row>
    <row r="34" spans="1:4" ht="28.5" customHeight="1">
      <c r="A34" s="21" t="s">
        <v>198</v>
      </c>
      <c r="B34" s="21"/>
      <c r="C34" s="21"/>
      <c r="D34" s="21"/>
    </row>
    <row r="35" spans="1:4" ht="65.25" customHeight="1">
      <c r="A35" s="21" t="s">
        <v>348</v>
      </c>
      <c r="B35" s="21"/>
      <c r="C35" s="21"/>
      <c r="D35" s="21"/>
    </row>
    <row r="37" spans="1:4">
      <c r="A37" s="4" t="s">
        <v>143</v>
      </c>
    </row>
    <row r="38" spans="1:4">
      <c r="A38" s="3" t="s">
        <v>153</v>
      </c>
    </row>
  </sheetData>
  <customSheetViews>
    <customSheetView guid="{9E4C61FA-E6D1-438A-8921-8C22C886D6BA}" showRuler="0" topLeftCell="A5">
      <selection activeCell="A16" sqref="A16"/>
      <pageMargins left="0.78740157499999996" right="0.78740157499999996" top="0.984251969" bottom="0.984251969" header="0.4921259845" footer="0.4921259845"/>
      <pageSetup paperSize="9" orientation="portrait" horizontalDpi="120" r:id="rId1"/>
      <headerFooter alignWithMargins="0"/>
    </customSheetView>
  </customSheetViews>
  <mergeCells count="2">
    <mergeCell ref="A34:D34"/>
    <mergeCell ref="A35:D35"/>
  </mergeCells>
  <phoneticPr fontId="2" type="noConversion"/>
  <hyperlinks>
    <hyperlink ref="A4" location="Inhalt!A1" display="&lt;&lt;&lt; Inhalt" xr:uid="{EF4F05EB-A6F2-4F76-A4E0-51110E62C2BD}"/>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40"/>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325</v>
      </c>
    </row>
    <row r="2" spans="1:4">
      <c r="A2" s="3" t="s">
        <v>246</v>
      </c>
    </row>
    <row r="4" spans="1:4">
      <c r="A4" s="40" t="s">
        <v>551</v>
      </c>
    </row>
    <row r="6" spans="1:4">
      <c r="A6" s="3" t="s">
        <v>528</v>
      </c>
    </row>
    <row r="8" spans="1:4">
      <c r="A8" s="24"/>
      <c r="B8" s="24" t="s">
        <v>466</v>
      </c>
      <c r="C8" s="24" t="s">
        <v>480</v>
      </c>
      <c r="D8" s="24" t="s">
        <v>152</v>
      </c>
    </row>
    <row r="10" spans="1:4">
      <c r="A10" s="3" t="s">
        <v>103</v>
      </c>
      <c r="B10" s="30">
        <f>SUM(B12,B15,B21)</f>
        <v>-34004496.140000001</v>
      </c>
      <c r="C10" s="30">
        <f>SUM(C12,C15,C21)</f>
        <v>9652166.2399999797</v>
      </c>
      <c r="D10" s="26">
        <f>C10/B10-1</f>
        <v>-1.2838497062347585</v>
      </c>
    </row>
    <row r="11" spans="1:4">
      <c r="B11" s="30"/>
      <c r="C11" s="30"/>
      <c r="D11" s="26"/>
    </row>
    <row r="12" spans="1:4">
      <c r="A12" s="3" t="s">
        <v>91</v>
      </c>
      <c r="B12" s="30">
        <f>B13</f>
        <v>4338.6000000000004</v>
      </c>
      <c r="C12" s="30">
        <f>C13</f>
        <v>-112118.9</v>
      </c>
      <c r="D12" s="26" t="s">
        <v>89</v>
      </c>
    </row>
    <row r="13" spans="1:4">
      <c r="A13" s="3" t="s">
        <v>124</v>
      </c>
      <c r="B13" s="30">
        <v>4338.6000000000004</v>
      </c>
      <c r="C13" s="30">
        <v>-112118.9</v>
      </c>
      <c r="D13" s="26" t="s">
        <v>89</v>
      </c>
    </row>
    <row r="14" spans="1:4">
      <c r="B14" s="30"/>
      <c r="C14" s="30"/>
      <c r="D14" s="26"/>
    </row>
    <row r="15" spans="1:4">
      <c r="A15" s="3" t="s">
        <v>92</v>
      </c>
      <c r="B15" s="30">
        <f>SUM(B16:B19)</f>
        <v>-105131321.14</v>
      </c>
      <c r="C15" s="30">
        <f>SUM(C16:C19)</f>
        <v>-83003770.910000011</v>
      </c>
      <c r="D15" s="26">
        <f>C15/B15-1</f>
        <v>-0.21047533684593811</v>
      </c>
    </row>
    <row r="16" spans="1:4">
      <c r="A16" s="3" t="s">
        <v>125</v>
      </c>
      <c r="B16" s="30">
        <v>381825.8</v>
      </c>
      <c r="C16" s="30">
        <v>676207</v>
      </c>
      <c r="D16" s="26">
        <f>C16/B16-1</f>
        <v>0.77098299800589709</v>
      </c>
    </row>
    <row r="17" spans="1:4">
      <c r="A17" s="3" t="s">
        <v>299</v>
      </c>
      <c r="B17" s="30">
        <v>-130883211.95</v>
      </c>
      <c r="C17" s="30">
        <v>-106497116.7</v>
      </c>
      <c r="D17" s="26">
        <f>C17/B17-1</f>
        <v>-0.18631950489812221</v>
      </c>
    </row>
    <row r="18" spans="1:4">
      <c r="A18" s="3" t="s">
        <v>126</v>
      </c>
      <c r="B18" s="30">
        <v>5469234.7000000002</v>
      </c>
      <c r="C18" s="30">
        <v>3866928.3</v>
      </c>
      <c r="D18" s="26">
        <f>C18/B18-1</f>
        <v>-0.29296720435127799</v>
      </c>
    </row>
    <row r="19" spans="1:4">
      <c r="A19" s="3" t="s">
        <v>127</v>
      </c>
      <c r="B19" s="30">
        <v>19900830.309999999</v>
      </c>
      <c r="C19" s="30">
        <v>18950210.489999998</v>
      </c>
      <c r="D19" s="26">
        <f>C19/B19-1</f>
        <v>-4.7767847129590479E-2</v>
      </c>
    </row>
    <row r="20" spans="1:4">
      <c r="B20" s="30"/>
      <c r="C20" s="30"/>
      <c r="D20" s="26"/>
    </row>
    <row r="21" spans="1:4">
      <c r="A21" s="3" t="s">
        <v>93</v>
      </c>
      <c r="B21" s="30">
        <f>SUM(B22:B32)</f>
        <v>71122486.400000006</v>
      </c>
      <c r="C21" s="30">
        <f>SUM(C22:C32)</f>
        <v>92768056.049999997</v>
      </c>
      <c r="D21" s="26">
        <f t="shared" ref="D21:D32" si="0">C21/B21-1</f>
        <v>0.30434213911284158</v>
      </c>
    </row>
    <row r="22" spans="1:4">
      <c r="A22" s="3" t="s">
        <v>128</v>
      </c>
      <c r="B22" s="30">
        <v>-19013990.940000001</v>
      </c>
      <c r="C22" s="30">
        <v>-6810194.8499999996</v>
      </c>
      <c r="D22" s="26">
        <f t="shared" si="0"/>
        <v>-0.64183243425906467</v>
      </c>
    </row>
    <row r="23" spans="1:4">
      <c r="A23" s="3" t="s">
        <v>129</v>
      </c>
      <c r="B23" s="30">
        <v>4132747.05</v>
      </c>
      <c r="C23" s="30">
        <v>3260455.05</v>
      </c>
      <c r="D23" s="26">
        <f t="shared" si="0"/>
        <v>-0.21106832560681399</v>
      </c>
    </row>
    <row r="24" spans="1:4">
      <c r="A24" s="3" t="s">
        <v>130</v>
      </c>
      <c r="B24" s="30">
        <v>3527327.06</v>
      </c>
      <c r="C24" s="30">
        <v>2875960.38</v>
      </c>
      <c r="D24" s="26">
        <f t="shared" si="0"/>
        <v>-0.1846629668642068</v>
      </c>
    </row>
    <row r="25" spans="1:4">
      <c r="A25" s="3" t="s">
        <v>131</v>
      </c>
      <c r="B25" s="30">
        <v>8806184.2799999993</v>
      </c>
      <c r="C25" s="30">
        <v>10326125.1</v>
      </c>
      <c r="D25" s="26">
        <f t="shared" si="0"/>
        <v>0.17259925203382198</v>
      </c>
    </row>
    <row r="26" spans="1:4">
      <c r="A26" s="3" t="s">
        <v>132</v>
      </c>
      <c r="B26" s="30">
        <v>15684090.07</v>
      </c>
      <c r="C26" s="30">
        <v>21273923.59</v>
      </c>
      <c r="D26" s="26">
        <f t="shared" si="0"/>
        <v>0.35640151867605274</v>
      </c>
    </row>
    <row r="27" spans="1:4">
      <c r="A27" s="3" t="s">
        <v>136</v>
      </c>
      <c r="B27" s="30">
        <v>907759.79</v>
      </c>
      <c r="C27" s="30">
        <v>3269506</v>
      </c>
      <c r="D27" s="26">
        <f>C27/B27-1</f>
        <v>2.6017303652544466</v>
      </c>
    </row>
    <row r="28" spans="1:4">
      <c r="A28" s="3" t="s">
        <v>133</v>
      </c>
      <c r="B28" s="30">
        <v>30641572.02</v>
      </c>
      <c r="C28" s="30">
        <v>29512037.969999999</v>
      </c>
      <c r="D28" s="26">
        <f t="shared" si="0"/>
        <v>-3.6862797028257677E-2</v>
      </c>
    </row>
    <row r="29" spans="1:4">
      <c r="A29" s="3" t="s">
        <v>137</v>
      </c>
      <c r="B29" s="30">
        <v>23647660.57</v>
      </c>
      <c r="C29" s="30">
        <v>26286123.510000002</v>
      </c>
      <c r="D29" s="26">
        <f t="shared" si="0"/>
        <v>0.11157395177378437</v>
      </c>
    </row>
    <row r="30" spans="1:4">
      <c r="A30" s="3" t="s">
        <v>134</v>
      </c>
      <c r="B30" s="30">
        <v>89038.3</v>
      </c>
      <c r="C30" s="30">
        <v>75551.05</v>
      </c>
      <c r="D30" s="26">
        <f t="shared" si="0"/>
        <v>-0.15147694868388095</v>
      </c>
    </row>
    <row r="31" spans="1:4">
      <c r="A31" s="3" t="s">
        <v>135</v>
      </c>
      <c r="B31" s="30">
        <v>335268.5</v>
      </c>
      <c r="C31" s="30">
        <v>361942.85</v>
      </c>
      <c r="D31" s="26">
        <f t="shared" si="0"/>
        <v>7.9561157698978535E-2</v>
      </c>
    </row>
    <row r="32" spans="1:4">
      <c r="A32" s="3" t="s">
        <v>100</v>
      </c>
      <c r="B32" s="30">
        <v>2364829.7000000002</v>
      </c>
      <c r="C32" s="30">
        <v>2336625.4</v>
      </c>
      <c r="D32" s="26">
        <f t="shared" si="0"/>
        <v>-1.192656705893036E-2</v>
      </c>
    </row>
    <row r="34" spans="1:1">
      <c r="A34" s="4" t="s">
        <v>330</v>
      </c>
    </row>
    <row r="35" spans="1:1">
      <c r="A35" s="3" t="s">
        <v>199</v>
      </c>
    </row>
    <row r="36" spans="1:1">
      <c r="A36" s="3" t="s">
        <v>200</v>
      </c>
    </row>
    <row r="37" spans="1:1">
      <c r="A37" s="3" t="s">
        <v>303</v>
      </c>
    </row>
    <row r="39" spans="1:1">
      <c r="A39" s="4" t="s">
        <v>143</v>
      </c>
    </row>
    <row r="40" spans="1:1">
      <c r="A40" s="3" t="s">
        <v>153</v>
      </c>
    </row>
  </sheetData>
  <phoneticPr fontId="2" type="noConversion"/>
  <hyperlinks>
    <hyperlink ref="A4" location="Inhalt!A1" display="&lt;&lt;&lt; Inhalt" xr:uid="{7BF4ADB8-3396-4F33-A777-F6C5A995CD8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2"/>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326</v>
      </c>
    </row>
    <row r="2" spans="1:4">
      <c r="A2" s="3" t="s">
        <v>246</v>
      </c>
    </row>
    <row r="4" spans="1:4">
      <c r="A4" s="40" t="s">
        <v>551</v>
      </c>
    </row>
    <row r="6" spans="1:4">
      <c r="A6" s="3" t="s">
        <v>524</v>
      </c>
    </row>
    <row r="8" spans="1:4">
      <c r="A8" s="24"/>
      <c r="B8" s="24" t="s">
        <v>466</v>
      </c>
      <c r="C8" s="24" t="s">
        <v>480</v>
      </c>
      <c r="D8" s="24" t="s">
        <v>152</v>
      </c>
    </row>
    <row r="10" spans="1:4">
      <c r="A10" s="3" t="s">
        <v>101</v>
      </c>
      <c r="B10" s="30">
        <v>15434413</v>
      </c>
      <c r="C10" s="30">
        <v>15426852</v>
      </c>
      <c r="D10" s="26">
        <f>C10/B10-1</f>
        <v>-4.8987933651900573E-4</v>
      </c>
    </row>
    <row r="11" spans="1:4">
      <c r="B11" s="30"/>
      <c r="C11" s="30"/>
      <c r="D11" s="26"/>
    </row>
    <row r="12" spans="1:4">
      <c r="A12" s="3" t="s">
        <v>25</v>
      </c>
      <c r="B12" s="30">
        <v>44789</v>
      </c>
      <c r="C12" s="30">
        <v>45141</v>
      </c>
      <c r="D12" s="26">
        <f>C12/B12-1</f>
        <v>7.8590725401326278E-3</v>
      </c>
    </row>
    <row r="13" spans="1:4">
      <c r="B13" s="30"/>
      <c r="C13" s="30"/>
      <c r="D13" s="26"/>
    </row>
    <row r="14" spans="1:4">
      <c r="A14" s="3" t="s">
        <v>15</v>
      </c>
      <c r="B14" s="30">
        <f>B10/B$12</f>
        <v>344.60275960615331</v>
      </c>
      <c r="C14" s="30">
        <f>C10/C$12</f>
        <v>341.7481225493454</v>
      </c>
      <c r="D14" s="26">
        <f>C14/B14-1</f>
        <v>-8.2838485102977311E-3</v>
      </c>
    </row>
    <row r="19" spans="1:4">
      <c r="A19" s="3" t="s">
        <v>327</v>
      </c>
    </row>
    <row r="20" spans="1:4">
      <c r="A20" s="3" t="s">
        <v>246</v>
      </c>
    </row>
    <row r="22" spans="1:4">
      <c r="A22" s="3" t="s">
        <v>523</v>
      </c>
    </row>
    <row r="24" spans="1:4">
      <c r="A24" s="24"/>
      <c r="B24" s="24" t="s">
        <v>466</v>
      </c>
      <c r="C24" s="24" t="s">
        <v>480</v>
      </c>
      <c r="D24" s="24" t="s">
        <v>165</v>
      </c>
    </row>
    <row r="26" spans="1:4">
      <c r="A26" s="3" t="s">
        <v>101</v>
      </c>
      <c r="B26" s="30">
        <f>SUM(B28:B36)</f>
        <v>15434413</v>
      </c>
      <c r="C26" s="30">
        <f>SUM(C28:C36)</f>
        <v>15426852</v>
      </c>
      <c r="D26" s="26">
        <f>SUM(D28:D36)</f>
        <v>1</v>
      </c>
    </row>
    <row r="27" spans="1:4">
      <c r="B27" s="30"/>
      <c r="C27" s="30"/>
      <c r="D27" s="26"/>
    </row>
    <row r="28" spans="1:4">
      <c r="A28" s="3" t="s">
        <v>16</v>
      </c>
      <c r="B28" s="30">
        <v>13016003</v>
      </c>
      <c r="C28" s="30">
        <v>13022416</v>
      </c>
      <c r="D28" s="26">
        <f t="shared" ref="D28:D35" si="0">C28/C$26</f>
        <v>0.84413955614534963</v>
      </c>
    </row>
    <row r="29" spans="1:4">
      <c r="A29" s="3" t="s">
        <v>17</v>
      </c>
      <c r="B29" s="30">
        <v>1010075</v>
      </c>
      <c r="C29" s="30">
        <v>998063</v>
      </c>
      <c r="D29" s="26">
        <f t="shared" si="0"/>
        <v>6.4696478581631564E-2</v>
      </c>
    </row>
    <row r="30" spans="1:4">
      <c r="A30" s="3" t="s">
        <v>18</v>
      </c>
      <c r="B30" s="30">
        <v>125491</v>
      </c>
      <c r="C30" s="30">
        <v>103361</v>
      </c>
      <c r="D30" s="26">
        <f t="shared" si="0"/>
        <v>6.7000707597376311E-3</v>
      </c>
    </row>
    <row r="31" spans="1:4">
      <c r="A31" s="3" t="s">
        <v>19</v>
      </c>
      <c r="B31" s="30">
        <v>462428</v>
      </c>
      <c r="C31" s="30">
        <v>458427</v>
      </c>
      <c r="D31" s="26">
        <f t="shared" si="0"/>
        <v>2.9716172813481323E-2</v>
      </c>
    </row>
    <row r="32" spans="1:4">
      <c r="A32" s="3" t="s">
        <v>20</v>
      </c>
      <c r="B32" s="30">
        <v>505155</v>
      </c>
      <c r="C32" s="30">
        <v>521721</v>
      </c>
      <c r="D32" s="26">
        <f t="shared" si="0"/>
        <v>3.381901894177762E-2</v>
      </c>
    </row>
    <row r="33" spans="1:4">
      <c r="A33" s="3" t="s">
        <v>21</v>
      </c>
      <c r="B33" s="30">
        <v>71313</v>
      </c>
      <c r="C33" s="30">
        <v>71695</v>
      </c>
      <c r="D33" s="26">
        <f t="shared" si="0"/>
        <v>4.647416076850935E-3</v>
      </c>
    </row>
    <row r="34" spans="1:4">
      <c r="A34" s="3" t="s">
        <v>22</v>
      </c>
      <c r="B34" s="30">
        <v>118587</v>
      </c>
      <c r="C34" s="30">
        <v>123057</v>
      </c>
      <c r="D34" s="26">
        <f t="shared" si="0"/>
        <v>7.9768056373393618E-3</v>
      </c>
    </row>
    <row r="35" spans="1:4">
      <c r="A35" s="3" t="s">
        <v>23</v>
      </c>
      <c r="B35" s="30">
        <v>111499</v>
      </c>
      <c r="C35" s="30">
        <v>112220</v>
      </c>
      <c r="D35" s="26">
        <f t="shared" si="0"/>
        <v>7.2743292020951518E-3</v>
      </c>
    </row>
    <row r="36" spans="1:4">
      <c r="A36" s="3" t="s">
        <v>24</v>
      </c>
      <c r="B36" s="30">
        <v>13862</v>
      </c>
      <c r="C36" s="30">
        <v>15892</v>
      </c>
      <c r="D36" s="26">
        <f>C36/C$26</f>
        <v>1.0301518417367328E-3</v>
      </c>
    </row>
    <row r="38" spans="1:4">
      <c r="A38" s="4" t="s">
        <v>306</v>
      </c>
    </row>
    <row r="39" spans="1:4">
      <c r="A39" s="3" t="s">
        <v>111</v>
      </c>
    </row>
    <row r="41" spans="1:4">
      <c r="A41" s="4" t="s">
        <v>143</v>
      </c>
    </row>
    <row r="42" spans="1:4">
      <c r="A42" s="3" t="s">
        <v>470</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4CF4F067-6138-4C0C-BE1A-A31AEBF7C3B5}"/>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44"/>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328</v>
      </c>
    </row>
    <row r="2" spans="1:4">
      <c r="A2" s="3" t="s">
        <v>246</v>
      </c>
    </row>
    <row r="4" spans="1:4">
      <c r="A4" s="40" t="s">
        <v>551</v>
      </c>
    </row>
    <row r="6" spans="1:4">
      <c r="A6" s="3" t="s">
        <v>525</v>
      </c>
    </row>
    <row r="8" spans="1:4">
      <c r="A8" s="24"/>
      <c r="B8" s="24" t="s">
        <v>466</v>
      </c>
      <c r="C8" s="24" t="s">
        <v>480</v>
      </c>
      <c r="D8" s="24" t="s">
        <v>152</v>
      </c>
    </row>
    <row r="10" spans="1:4">
      <c r="A10" s="3" t="s">
        <v>101</v>
      </c>
      <c r="B10" s="30">
        <f>SUM(B11:B12)</f>
        <v>84605856</v>
      </c>
      <c r="C10" s="30">
        <f>SUM(C11:C12)</f>
        <v>80440889</v>
      </c>
      <c r="D10" s="26">
        <f>C10/B10-1</f>
        <v>-4.9227880869144536E-2</v>
      </c>
    </row>
    <row r="11" spans="1:4">
      <c r="A11" s="3" t="s">
        <v>146</v>
      </c>
      <c r="B11" s="30">
        <f>SUM(B26:B34)</f>
        <v>81487313</v>
      </c>
      <c r="C11" s="30">
        <f>SUM(C26:C34)</f>
        <v>76225753</v>
      </c>
      <c r="D11" s="26">
        <f>C11/B11-1</f>
        <v>-6.4569069788814826E-2</v>
      </c>
    </row>
    <row r="12" spans="1:4">
      <c r="A12" s="3" t="s">
        <v>147</v>
      </c>
      <c r="B12" s="30">
        <f>SUM(B35:B36)</f>
        <v>3118543</v>
      </c>
      <c r="C12" s="30">
        <f>SUM(C35:C36)</f>
        <v>4215136</v>
      </c>
      <c r="D12" s="26">
        <f>C12/B12-1</f>
        <v>0.35163632504025122</v>
      </c>
    </row>
    <row r="17" spans="1:4" ht="15.75">
      <c r="A17" s="23" t="s">
        <v>329</v>
      </c>
    </row>
    <row r="18" spans="1:4">
      <c r="A18" s="3" t="s">
        <v>246</v>
      </c>
    </row>
    <row r="20" spans="1:4">
      <c r="A20" s="3" t="s">
        <v>526</v>
      </c>
    </row>
    <row r="22" spans="1:4">
      <c r="A22" s="24"/>
      <c r="B22" s="24" t="s">
        <v>466</v>
      </c>
      <c r="C22" s="24" t="s">
        <v>480</v>
      </c>
      <c r="D22" s="24" t="s">
        <v>152</v>
      </c>
    </row>
    <row r="24" spans="1:4">
      <c r="A24" s="3" t="s">
        <v>101</v>
      </c>
      <c r="B24" s="30">
        <f>SUM(B26:B36)</f>
        <v>84605856</v>
      </c>
      <c r="C24" s="30">
        <f>SUM(C26:C36)</f>
        <v>80440889</v>
      </c>
      <c r="D24" s="26">
        <f>C24/B24-1</f>
        <v>-4.9227880869144536E-2</v>
      </c>
    </row>
    <row r="25" spans="1:4">
      <c r="B25" s="30"/>
      <c r="C25" s="30"/>
      <c r="D25" s="26"/>
    </row>
    <row r="26" spans="1:4">
      <c r="A26" s="3" t="s">
        <v>333</v>
      </c>
      <c r="B26" s="30">
        <v>121054</v>
      </c>
      <c r="C26" s="30">
        <v>81075</v>
      </c>
      <c r="D26" s="26">
        <f t="shared" ref="D26:D36" si="0">C26/B26-1</f>
        <v>-0.33025757100137132</v>
      </c>
    </row>
    <row r="27" spans="1:4">
      <c r="A27" s="3" t="s">
        <v>106</v>
      </c>
      <c r="B27" s="30">
        <v>6632949</v>
      </c>
      <c r="C27" s="30">
        <v>5392595</v>
      </c>
      <c r="D27" s="26">
        <f t="shared" si="0"/>
        <v>-0.18699887485943278</v>
      </c>
    </row>
    <row r="28" spans="1:4">
      <c r="A28" s="3" t="s">
        <v>338</v>
      </c>
      <c r="B28" s="30">
        <v>765189</v>
      </c>
      <c r="C28" s="30">
        <v>734639</v>
      </c>
      <c r="D28" s="26">
        <f>C28/B28-1</f>
        <v>-3.9924776754501123E-2</v>
      </c>
    </row>
    <row r="29" spans="1:4">
      <c r="A29" s="3" t="s">
        <v>1</v>
      </c>
      <c r="B29" s="30">
        <v>1150727</v>
      </c>
      <c r="C29" s="30">
        <v>574539</v>
      </c>
      <c r="D29" s="26">
        <f>C29/B29-1</f>
        <v>-0.50071650356687547</v>
      </c>
    </row>
    <row r="30" spans="1:4">
      <c r="A30" s="3" t="s">
        <v>99</v>
      </c>
      <c r="B30" s="30">
        <v>33641461</v>
      </c>
      <c r="C30" s="30">
        <v>31935594</v>
      </c>
      <c r="D30" s="26">
        <f>C30/B30-1</f>
        <v>-5.0707280519118991E-2</v>
      </c>
    </row>
    <row r="31" spans="1:4">
      <c r="A31" s="3" t="s">
        <v>189</v>
      </c>
      <c r="B31" s="30">
        <v>118290</v>
      </c>
      <c r="C31" s="30">
        <v>119807</v>
      </c>
      <c r="D31" s="26">
        <f t="shared" si="0"/>
        <v>1.2824414574351239E-2</v>
      </c>
    </row>
    <row r="32" spans="1:4">
      <c r="A32" s="3" t="s">
        <v>190</v>
      </c>
      <c r="B32" s="30">
        <v>75000</v>
      </c>
      <c r="C32" s="30">
        <v>75000</v>
      </c>
      <c r="D32" s="26">
        <f t="shared" si="0"/>
        <v>0</v>
      </c>
    </row>
    <row r="33" spans="1:4">
      <c r="A33" s="3" t="s">
        <v>368</v>
      </c>
      <c r="B33" s="30">
        <v>9175000</v>
      </c>
      <c r="C33" s="30">
        <v>10400000</v>
      </c>
      <c r="D33" s="26">
        <f t="shared" si="0"/>
        <v>0.13351498637602188</v>
      </c>
    </row>
    <row r="34" spans="1:4">
      <c r="A34" s="3" t="s">
        <v>463</v>
      </c>
      <c r="B34" s="30">
        <v>29807643</v>
      </c>
      <c r="C34" s="30">
        <v>26912504</v>
      </c>
      <c r="D34" s="26">
        <f>C34/B34-1</f>
        <v>-9.7127404538493667E-2</v>
      </c>
    </row>
    <row r="35" spans="1:4">
      <c r="A35" s="3" t="s">
        <v>26</v>
      </c>
      <c r="B35" s="30">
        <v>2858662</v>
      </c>
      <c r="C35" s="30">
        <v>3946554</v>
      </c>
      <c r="D35" s="26">
        <f t="shared" si="0"/>
        <v>0.38055985632439238</v>
      </c>
    </row>
    <row r="36" spans="1:4">
      <c r="A36" s="3" t="s">
        <v>73</v>
      </c>
      <c r="B36" s="30">
        <v>259881</v>
      </c>
      <c r="C36" s="30">
        <v>268582</v>
      </c>
      <c r="D36" s="26">
        <f t="shared" si="0"/>
        <v>3.3480708478111243E-2</v>
      </c>
    </row>
    <row r="38" spans="1:4">
      <c r="A38" s="4" t="s">
        <v>306</v>
      </c>
    </row>
    <row r="39" spans="1:4" ht="27" customHeight="1">
      <c r="A39" s="21" t="s">
        <v>201</v>
      </c>
      <c r="B39" s="21"/>
      <c r="C39" s="21"/>
      <c r="D39" s="21"/>
    </row>
    <row r="40" spans="1:4" ht="29.25" customHeight="1">
      <c r="A40" s="21" t="s">
        <v>527</v>
      </c>
      <c r="B40" s="21"/>
      <c r="C40" s="21"/>
      <c r="D40" s="21"/>
    </row>
    <row r="41" spans="1:4">
      <c r="A41" s="3" t="s">
        <v>83</v>
      </c>
    </row>
    <row r="43" spans="1:4">
      <c r="A43" s="4" t="s">
        <v>143</v>
      </c>
    </row>
    <row r="44" spans="1:4">
      <c r="A44" s="3" t="s">
        <v>71</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mergeCells count="2">
    <mergeCell ref="A40:D40"/>
    <mergeCell ref="A39:D39"/>
  </mergeCells>
  <phoneticPr fontId="2" type="noConversion"/>
  <hyperlinks>
    <hyperlink ref="A4" location="Inhalt!A1" display="&lt;&lt;&lt; Inhalt" xr:uid="{4F29F48C-36FC-406C-8E49-D706A9624759}"/>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A1:A23"/>
  <sheetViews>
    <sheetView workbookViewId="0">
      <selection activeCell="G24" sqref="G24"/>
    </sheetView>
  </sheetViews>
  <sheetFormatPr baseColWidth="10" defaultRowHeight="12.75"/>
  <cols>
    <col min="1" max="16384" width="11.42578125" style="3"/>
  </cols>
  <sheetData>
    <row r="1" spans="1:1" s="4" customFormat="1"/>
    <row r="3" spans="1:1">
      <c r="A3" s="4" t="s">
        <v>424</v>
      </c>
    </row>
    <row r="23" s="23" customFormat="1" ht="15.75"/>
  </sheetData>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1"/>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265</v>
      </c>
    </row>
    <row r="2" spans="1:4">
      <c r="A2" s="3" t="s">
        <v>246</v>
      </c>
    </row>
    <row r="4" spans="1:4">
      <c r="A4" s="40" t="s">
        <v>551</v>
      </c>
    </row>
    <row r="6" spans="1:4">
      <c r="A6" s="3" t="s">
        <v>529</v>
      </c>
    </row>
    <row r="8" spans="1:4">
      <c r="A8" s="24"/>
      <c r="B8" s="24" t="s">
        <v>466</v>
      </c>
      <c r="C8" s="24" t="s">
        <v>480</v>
      </c>
      <c r="D8" s="24" t="s">
        <v>152</v>
      </c>
    </row>
    <row r="10" spans="1:4">
      <c r="A10" s="3" t="s">
        <v>148</v>
      </c>
      <c r="B10" s="30">
        <v>957943208.98000002</v>
      </c>
      <c r="C10" s="30">
        <v>1271287848.71</v>
      </c>
      <c r="D10" s="26">
        <f>C10/B10-1</f>
        <v>0.32710147824279012</v>
      </c>
    </row>
    <row r="11" spans="1:4">
      <c r="A11" s="3" t="s">
        <v>27</v>
      </c>
      <c r="B11" s="30">
        <v>637180837</v>
      </c>
      <c r="C11" s="30">
        <v>958644987.71000004</v>
      </c>
      <c r="D11" s="26">
        <f>C11/B11-1</f>
        <v>0.50451007318978758</v>
      </c>
    </row>
    <row r="12" spans="1:4">
      <c r="A12" s="3" t="s">
        <v>28</v>
      </c>
      <c r="B12" s="30">
        <v>320762372</v>
      </c>
      <c r="C12" s="30">
        <v>312642861</v>
      </c>
      <c r="D12" s="26">
        <f>C12/B12-1</f>
        <v>-2.5313165473162202E-2</v>
      </c>
    </row>
    <row r="18" spans="1:4" ht="15.75">
      <c r="A18" s="23" t="s">
        <v>247</v>
      </c>
    </row>
    <row r="19" spans="1:4">
      <c r="A19" s="3" t="s">
        <v>245</v>
      </c>
    </row>
    <row r="21" spans="1:4">
      <c r="A21" s="3" t="s">
        <v>530</v>
      </c>
    </row>
    <row r="23" spans="1:4">
      <c r="A23" s="24"/>
      <c r="B23" s="24" t="str">
        <f>B8</f>
        <v>RJ 2019</v>
      </c>
      <c r="C23" s="24" t="str">
        <f>C8</f>
        <v>RJ 2020</v>
      </c>
    </row>
    <row r="25" spans="1:4">
      <c r="A25" s="3" t="s">
        <v>148</v>
      </c>
      <c r="B25" s="26">
        <f>B10/B$10</f>
        <v>1</v>
      </c>
      <c r="C25" s="26">
        <f t="shared" ref="B25:C27" si="0">C10/C$10</f>
        <v>1</v>
      </c>
      <c r="D25" s="26"/>
    </row>
    <row r="26" spans="1:4">
      <c r="A26" s="3" t="s">
        <v>27</v>
      </c>
      <c r="B26" s="26">
        <f>B11/B$10</f>
        <v>0.66515512717967717</v>
      </c>
      <c r="C26" s="26">
        <f>C11/C$10</f>
        <v>0.75407390126693596</v>
      </c>
      <c r="D26" s="26"/>
    </row>
    <row r="27" spans="1:4">
      <c r="A27" s="3" t="s">
        <v>28</v>
      </c>
      <c r="B27" s="26">
        <f t="shared" si="0"/>
        <v>0.33484487284120085</v>
      </c>
      <c r="C27" s="26">
        <f t="shared" si="0"/>
        <v>0.24592609873306401</v>
      </c>
      <c r="D27" s="26"/>
    </row>
    <row r="29" spans="1:4">
      <c r="A29" s="4" t="s">
        <v>306</v>
      </c>
    </row>
    <row r="30" spans="1:4" ht="63.75" customHeight="1">
      <c r="A30" s="21" t="s">
        <v>349</v>
      </c>
      <c r="B30" s="21"/>
      <c r="C30" s="21"/>
      <c r="D30" s="21"/>
    </row>
    <row r="31" spans="1:4" ht="41.25" customHeight="1">
      <c r="A31" s="21" t="s">
        <v>495</v>
      </c>
      <c r="B31" s="21"/>
      <c r="C31" s="21"/>
      <c r="D31" s="21"/>
    </row>
  </sheetData>
  <customSheetViews>
    <customSheetView guid="{9E4C61FA-E6D1-438A-8921-8C22C886D6BA}" scale="150" showRuler="0">
      <selection activeCell="A14" sqref="A14"/>
      <pageMargins left="0.78740157499999996" right="0.78740157499999996" top="0.984251969" bottom="0.984251969" header="0.4921259845" footer="0.4921259845"/>
      <pageSetup paperSize="9" orientation="portrait" horizontalDpi="120" r:id="rId1"/>
      <headerFooter alignWithMargins="0"/>
    </customSheetView>
  </customSheetViews>
  <mergeCells count="2">
    <mergeCell ref="A30:D30"/>
    <mergeCell ref="A31:D31"/>
  </mergeCells>
  <phoneticPr fontId="2" type="noConversion"/>
  <hyperlinks>
    <hyperlink ref="A4" location="Inhalt!A1" display="&lt;&lt;&lt; Inhalt" xr:uid="{7C2C7748-C1BF-4A5C-99FC-B818086FFDC6}"/>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34"/>
  <sheetViews>
    <sheetView zoomScaleNormal="100" workbookViewId="0">
      <selection activeCell="A4" sqref="A4"/>
    </sheetView>
  </sheetViews>
  <sheetFormatPr baseColWidth="10" defaultRowHeight="12.75"/>
  <cols>
    <col min="1" max="1" width="38.28515625" style="3" customWidth="1"/>
    <col min="2" max="3" width="15.7109375" style="3" customWidth="1"/>
    <col min="4" max="4" width="15.140625" style="3" customWidth="1"/>
    <col min="5" max="16384" width="11.42578125" style="3"/>
  </cols>
  <sheetData>
    <row r="1" spans="1:4" s="23" customFormat="1" ht="15.75">
      <c r="A1" s="23" t="s">
        <v>248</v>
      </c>
    </row>
    <row r="2" spans="1:4">
      <c r="A2" s="3" t="s">
        <v>246</v>
      </c>
    </row>
    <row r="4" spans="1:4">
      <c r="A4" s="40" t="s">
        <v>551</v>
      </c>
    </row>
    <row r="6" spans="1:4">
      <c r="A6" s="3" t="s">
        <v>541</v>
      </c>
    </row>
    <row r="8" spans="1:4">
      <c r="A8" s="24"/>
      <c r="B8" s="24" t="s">
        <v>466</v>
      </c>
      <c r="C8" s="24" t="s">
        <v>480</v>
      </c>
      <c r="D8" s="24" t="s">
        <v>152</v>
      </c>
    </row>
    <row r="10" spans="1:4">
      <c r="A10" s="3" t="s">
        <v>148</v>
      </c>
      <c r="B10" s="30">
        <v>957943208.98000002</v>
      </c>
      <c r="C10" s="30">
        <v>1271287848.71</v>
      </c>
      <c r="D10" s="26">
        <f>C10/B10-1</f>
        <v>0.32710147824279012</v>
      </c>
    </row>
    <row r="11" spans="1:4">
      <c r="B11" s="30"/>
      <c r="C11" s="30"/>
      <c r="D11" s="26"/>
    </row>
    <row r="12" spans="1:4">
      <c r="A12" s="3" t="s">
        <v>222</v>
      </c>
      <c r="B12" s="30">
        <v>600556341</v>
      </c>
      <c r="C12" s="30">
        <v>913538398</v>
      </c>
      <c r="D12" s="26">
        <f>C12/B12-1</f>
        <v>0.52115352987339447</v>
      </c>
    </row>
    <row r="13" spans="1:4">
      <c r="A13" s="3" t="s">
        <v>35</v>
      </c>
      <c r="B13" s="30">
        <v>36364615</v>
      </c>
      <c r="C13" s="30">
        <v>44838008</v>
      </c>
      <c r="D13" s="26">
        <f>C13/B13-1</f>
        <v>0.23301203656356595</v>
      </c>
    </row>
    <row r="14" spans="1:4">
      <c r="A14" s="3" t="s">
        <v>41</v>
      </c>
      <c r="B14" s="30">
        <v>320762372</v>
      </c>
      <c r="C14" s="30">
        <v>312642861</v>
      </c>
      <c r="D14" s="26">
        <f>C14/B14-1</f>
        <v>-2.5313165473162202E-2</v>
      </c>
    </row>
    <row r="15" spans="1:4">
      <c r="A15" s="3" t="s">
        <v>47</v>
      </c>
      <c r="B15" s="30">
        <v>259881</v>
      </c>
      <c r="C15" s="30">
        <v>268582</v>
      </c>
      <c r="D15" s="26">
        <f>C15/B15-1</f>
        <v>3.3480708478111243E-2</v>
      </c>
    </row>
    <row r="20" spans="1:3" s="23" customFormat="1" ht="15.75">
      <c r="A20" s="23" t="s">
        <v>249</v>
      </c>
    </row>
    <row r="21" spans="1:3">
      <c r="A21" s="3" t="s">
        <v>245</v>
      </c>
    </row>
    <row r="23" spans="1:3">
      <c r="A23" s="3" t="s">
        <v>531</v>
      </c>
    </row>
    <row r="25" spans="1:3">
      <c r="A25" s="24"/>
      <c r="B25" s="24" t="str">
        <f>B8</f>
        <v>RJ 2019</v>
      </c>
      <c r="C25" s="24" t="str">
        <f>C8</f>
        <v>RJ 2020</v>
      </c>
    </row>
    <row r="27" spans="1:3">
      <c r="A27" s="3" t="s">
        <v>148</v>
      </c>
      <c r="B27" s="26">
        <f>B10/B$10</f>
        <v>1</v>
      </c>
      <c r="C27" s="26">
        <f>C10/C$10</f>
        <v>1</v>
      </c>
    </row>
    <row r="28" spans="1:3">
      <c r="B28" s="26"/>
      <c r="C28" s="26"/>
    </row>
    <row r="29" spans="1:3">
      <c r="A29" s="3" t="s">
        <v>222</v>
      </c>
      <c r="B29" s="26">
        <f>B12/B$10</f>
        <v>0.62692269789089183</v>
      </c>
      <c r="C29" s="26">
        <f>C12/C$10</f>
        <v>0.71859288116926845</v>
      </c>
    </row>
    <row r="30" spans="1:3">
      <c r="A30" s="3" t="s">
        <v>35</v>
      </c>
      <c r="B30" s="26">
        <f t="shared" ref="B30:C32" si="0">B13/B$10</f>
        <v>3.7961138676185578E-2</v>
      </c>
      <c r="C30" s="26">
        <f t="shared" si="0"/>
        <v>3.5269752672849014E-2</v>
      </c>
    </row>
    <row r="31" spans="1:3">
      <c r="A31" s="3" t="s">
        <v>41</v>
      </c>
      <c r="B31" s="26">
        <f t="shared" si="0"/>
        <v>0.33484487284120085</v>
      </c>
      <c r="C31" s="26">
        <f t="shared" si="0"/>
        <v>0.24592609873306401</v>
      </c>
    </row>
    <row r="32" spans="1:3">
      <c r="A32" s="3" t="s">
        <v>47</v>
      </c>
      <c r="B32" s="26">
        <f t="shared" si="0"/>
        <v>2.7129061259979748E-4</v>
      </c>
      <c r="C32" s="26">
        <f t="shared" si="0"/>
        <v>2.1126765293362574E-4</v>
      </c>
    </row>
    <row r="33" spans="2:3">
      <c r="B33" s="26"/>
      <c r="C33" s="26"/>
    </row>
    <row r="34" spans="2:3">
      <c r="B34" s="26"/>
      <c r="C34" s="26"/>
    </row>
  </sheetData>
  <customSheetViews>
    <customSheetView guid="{9E4C61FA-E6D1-438A-8921-8C22C886D6BA}" showRuler="0">
      <selection activeCell="A52" sqref="A52:IV53"/>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A1A1E960-9994-4FE5-8782-734AEE5E1AB2}"/>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40"/>
  <sheetViews>
    <sheetView zoomScaleNormal="100" workbookViewId="0">
      <selection activeCell="A4" sqref="A4"/>
    </sheetView>
  </sheetViews>
  <sheetFormatPr baseColWidth="10" defaultRowHeight="12.75"/>
  <cols>
    <col min="1" max="1" width="40.42578125" style="3" customWidth="1"/>
    <col min="2" max="3" width="15.7109375" style="3" customWidth="1"/>
    <col min="4" max="4" width="14.7109375" style="3" customWidth="1"/>
    <col min="5" max="16384" width="11.42578125" style="3"/>
  </cols>
  <sheetData>
    <row r="1" spans="1:4" s="23" customFormat="1" ht="15.75">
      <c r="A1" s="23" t="s">
        <v>250</v>
      </c>
    </row>
    <row r="2" spans="1:4">
      <c r="A2" s="3" t="s">
        <v>246</v>
      </c>
    </row>
    <row r="4" spans="1:4">
      <c r="A4" s="40" t="s">
        <v>551</v>
      </c>
    </row>
    <row r="6" spans="1:4">
      <c r="A6" s="3" t="s">
        <v>542</v>
      </c>
    </row>
    <row r="8" spans="1:4">
      <c r="A8" s="24"/>
      <c r="B8" s="24" t="s">
        <v>466</v>
      </c>
      <c r="C8" s="24" t="s">
        <v>480</v>
      </c>
      <c r="D8" s="24" t="s">
        <v>152</v>
      </c>
    </row>
    <row r="10" spans="1:4">
      <c r="A10" s="3" t="s">
        <v>104</v>
      </c>
      <c r="B10" s="30">
        <v>957943209</v>
      </c>
      <c r="C10" s="30">
        <v>1271287849</v>
      </c>
      <c r="D10" s="26">
        <f>C10/B10-1</f>
        <v>0.32710147851781479</v>
      </c>
    </row>
    <row r="11" spans="1:4">
      <c r="B11" s="30"/>
      <c r="C11" s="30"/>
      <c r="D11" s="26"/>
    </row>
    <row r="12" spans="1:4">
      <c r="A12" s="3" t="s">
        <v>222</v>
      </c>
      <c r="B12" s="30">
        <v>600556341</v>
      </c>
      <c r="C12" s="30">
        <v>913538398</v>
      </c>
      <c r="D12" s="26">
        <f>C12/B12-1</f>
        <v>0.52115352987339447</v>
      </c>
    </row>
    <row r="13" spans="1:4">
      <c r="A13" s="3" t="s">
        <v>50</v>
      </c>
      <c r="B13" s="30">
        <v>306845304</v>
      </c>
      <c r="C13" s="30">
        <v>317596773</v>
      </c>
      <c r="D13" s="26">
        <f>C13/B13-1</f>
        <v>3.5038727527666458E-2</v>
      </c>
    </row>
    <row r="14" spans="1:4">
      <c r="A14" s="3" t="s">
        <v>223</v>
      </c>
      <c r="B14" s="30">
        <v>306845304</v>
      </c>
      <c r="C14" s="30">
        <v>317596773</v>
      </c>
      <c r="D14" s="26">
        <f>C14/B14-1</f>
        <v>3.5038727527666458E-2</v>
      </c>
    </row>
    <row r="15" spans="1:4">
      <c r="A15" s="3" t="s">
        <v>31</v>
      </c>
      <c r="B15" s="30">
        <v>0</v>
      </c>
      <c r="C15" s="30" t="s">
        <v>491</v>
      </c>
      <c r="D15" s="26" t="s">
        <v>89</v>
      </c>
    </row>
    <row r="16" spans="1:4">
      <c r="A16" s="3" t="s">
        <v>51</v>
      </c>
      <c r="B16" s="30">
        <v>263936408</v>
      </c>
      <c r="C16" s="30">
        <v>565548908</v>
      </c>
      <c r="D16" s="26">
        <f>C16/B16-1</f>
        <v>1.1427468543862278</v>
      </c>
    </row>
    <row r="17" spans="1:4">
      <c r="A17" s="3" t="s">
        <v>224</v>
      </c>
      <c r="B17" s="30">
        <v>263936408</v>
      </c>
      <c r="C17" s="30">
        <v>565548908</v>
      </c>
      <c r="D17" s="26">
        <f>C17/B17-1</f>
        <v>1.1427468543862278</v>
      </c>
    </row>
    <row r="18" spans="1:4">
      <c r="A18" s="3" t="s">
        <v>33</v>
      </c>
      <c r="B18" s="30">
        <v>0</v>
      </c>
      <c r="C18" s="30" t="s">
        <v>491</v>
      </c>
      <c r="D18" s="26"/>
    </row>
    <row r="19" spans="1:4">
      <c r="A19" s="3" t="s">
        <v>34</v>
      </c>
      <c r="B19" s="30">
        <v>29774629</v>
      </c>
      <c r="C19" s="30">
        <v>30392717</v>
      </c>
      <c r="D19" s="26">
        <f>C19/B19-1</f>
        <v>2.0758881663983209E-2</v>
      </c>
    </row>
    <row r="20" spans="1:4">
      <c r="A20" s="3" t="s">
        <v>35</v>
      </c>
      <c r="B20" s="30">
        <v>36364615</v>
      </c>
      <c r="C20" s="30">
        <v>44838008</v>
      </c>
      <c r="D20" s="26">
        <f>C20/B20-1</f>
        <v>0.23301203656356595</v>
      </c>
    </row>
    <row r="21" spans="1:4">
      <c r="A21" s="3" t="s">
        <v>36</v>
      </c>
      <c r="B21" s="30">
        <v>0</v>
      </c>
      <c r="C21" s="30">
        <v>0</v>
      </c>
      <c r="D21" s="26" t="s">
        <v>89</v>
      </c>
    </row>
    <row r="22" spans="1:4">
      <c r="A22" s="3" t="s">
        <v>52</v>
      </c>
      <c r="B22" s="30">
        <v>34888</v>
      </c>
      <c r="C22" s="30">
        <v>18923</v>
      </c>
      <c r="D22" s="26">
        <f>C22/B22-1</f>
        <v>-0.45760720018344414</v>
      </c>
    </row>
    <row r="23" spans="1:4">
      <c r="A23" s="3" t="s">
        <v>37</v>
      </c>
      <c r="B23" s="30">
        <v>0</v>
      </c>
      <c r="C23" s="30">
        <v>0</v>
      </c>
      <c r="D23" s="26" t="s">
        <v>89</v>
      </c>
    </row>
    <row r="24" spans="1:4">
      <c r="A24" s="3" t="s">
        <v>38</v>
      </c>
      <c r="B24" s="30">
        <v>34888</v>
      </c>
      <c r="C24" s="30">
        <v>18923</v>
      </c>
      <c r="D24" s="26">
        <f>C24/B24-1</f>
        <v>-0.45760720018344414</v>
      </c>
    </row>
    <row r="25" spans="1:4">
      <c r="A25" s="3" t="s">
        <v>39</v>
      </c>
      <c r="B25" s="30">
        <v>0</v>
      </c>
      <c r="C25" s="30">
        <v>0</v>
      </c>
      <c r="D25" s="26" t="s">
        <v>89</v>
      </c>
    </row>
    <row r="26" spans="1:4">
      <c r="A26" s="3" t="s">
        <v>225</v>
      </c>
      <c r="B26" s="30">
        <v>36329727</v>
      </c>
      <c r="C26" s="30">
        <v>44819085</v>
      </c>
      <c r="D26" s="26">
        <f>C26/B26-1</f>
        <v>0.23367524892218428</v>
      </c>
    </row>
    <row r="27" spans="1:4">
      <c r="A27" s="3" t="s">
        <v>105</v>
      </c>
      <c r="B27" s="30"/>
      <c r="C27" s="30"/>
      <c r="D27" s="26" t="s">
        <v>89</v>
      </c>
    </row>
    <row r="28" spans="1:4">
      <c r="A28" s="3" t="s">
        <v>40</v>
      </c>
      <c r="B28" s="30"/>
      <c r="C28" s="30"/>
      <c r="D28" s="26" t="s">
        <v>89</v>
      </c>
    </row>
    <row r="29" spans="1:4">
      <c r="A29" s="3" t="s">
        <v>41</v>
      </c>
      <c r="B29" s="30">
        <v>320762372</v>
      </c>
      <c r="C29" s="30">
        <v>312642861</v>
      </c>
      <c r="D29" s="26">
        <f>C29/B29-1</f>
        <v>-2.5313165473162202E-2</v>
      </c>
    </row>
    <row r="30" spans="1:4">
      <c r="A30" s="3" t="s">
        <v>226</v>
      </c>
      <c r="B30" s="30">
        <v>302394297</v>
      </c>
      <c r="C30" s="30">
        <v>293194456</v>
      </c>
      <c r="D30" s="26">
        <f>C30/B30-1</f>
        <v>-3.042332838704298E-2</v>
      </c>
    </row>
    <row r="31" spans="1:4">
      <c r="A31" s="3" t="s">
        <v>42</v>
      </c>
      <c r="B31" s="30">
        <v>223720682</v>
      </c>
      <c r="C31" s="30">
        <v>220301763</v>
      </c>
      <c r="D31" s="26">
        <f>C31/B31-1</f>
        <v>-1.5282087330665273E-2</v>
      </c>
    </row>
    <row r="32" spans="1:4">
      <c r="A32" s="3" t="s">
        <v>227</v>
      </c>
      <c r="B32" s="30">
        <v>78673615</v>
      </c>
      <c r="C32" s="30">
        <v>72892693</v>
      </c>
      <c r="D32" s="26">
        <f>C32/B32-1</f>
        <v>-7.3479806412861559E-2</v>
      </c>
    </row>
    <row r="33" spans="1:4">
      <c r="A33" s="3" t="s">
        <v>43</v>
      </c>
      <c r="B33" s="30">
        <v>0</v>
      </c>
      <c r="C33" s="30">
        <v>0</v>
      </c>
      <c r="D33" s="26" t="s">
        <v>89</v>
      </c>
    </row>
    <row r="34" spans="1:4">
      <c r="A34" s="3" t="s">
        <v>228</v>
      </c>
      <c r="B34" s="30">
        <v>18368075</v>
      </c>
      <c r="C34" s="30">
        <v>19448405</v>
      </c>
      <c r="D34" s="26">
        <f>C34/B34-1</f>
        <v>5.8815635280234924E-2</v>
      </c>
    </row>
    <row r="35" spans="1:4">
      <c r="A35" s="3" t="s">
        <v>44</v>
      </c>
      <c r="B35" s="30">
        <v>18368075</v>
      </c>
      <c r="C35" s="30">
        <v>19448405</v>
      </c>
      <c r="D35" s="26">
        <f>C35/B35-1</f>
        <v>5.8815635280234924E-2</v>
      </c>
    </row>
    <row r="36" spans="1:4">
      <c r="A36" s="3" t="s">
        <v>45</v>
      </c>
      <c r="B36" s="30">
        <v>0</v>
      </c>
      <c r="C36" s="30">
        <v>0</v>
      </c>
      <c r="D36" s="26" t="s">
        <v>89</v>
      </c>
    </row>
    <row r="37" spans="1:4">
      <c r="A37" s="3" t="s">
        <v>46</v>
      </c>
      <c r="B37" s="30">
        <v>0</v>
      </c>
      <c r="C37" s="30">
        <v>0</v>
      </c>
      <c r="D37" s="26" t="s">
        <v>89</v>
      </c>
    </row>
    <row r="38" spans="1:4">
      <c r="A38" s="3" t="s">
        <v>47</v>
      </c>
      <c r="B38" s="30">
        <v>259881</v>
      </c>
      <c r="C38" s="30">
        <v>268582</v>
      </c>
      <c r="D38" s="26">
        <f>C38/B38-1</f>
        <v>3.3480708478111243E-2</v>
      </c>
    </row>
    <row r="39" spans="1:4">
      <c r="A39" s="3" t="s">
        <v>48</v>
      </c>
      <c r="B39" s="30">
        <v>0</v>
      </c>
      <c r="C39" s="30">
        <v>0</v>
      </c>
      <c r="D39" s="26" t="s">
        <v>89</v>
      </c>
    </row>
    <row r="40" spans="1:4">
      <c r="A40" s="3" t="s">
        <v>49</v>
      </c>
      <c r="B40" s="30">
        <v>259881</v>
      </c>
      <c r="C40" s="30">
        <v>268582</v>
      </c>
      <c r="D40" s="26">
        <f>C40/B40-1</f>
        <v>3.3480708478111243E-2</v>
      </c>
    </row>
  </sheetData>
  <customSheetViews>
    <customSheetView guid="{9E4C61FA-E6D1-438A-8921-8C22C886D6BA}" showRuler="0">
      <selection activeCell="A5" sqref="A5"/>
      <pageMargins left="0.78740157480314965" right="0.71" top="0.98425196850393704" bottom="0.91" header="0.51181102362204722" footer="0.51181102362204722"/>
      <pageSetup paperSize="9" orientation="portrait" r:id="rId1"/>
      <headerFooter alignWithMargins="0"/>
    </customSheetView>
  </customSheetViews>
  <phoneticPr fontId="2" type="noConversion"/>
  <hyperlinks>
    <hyperlink ref="A4" location="Inhalt!A1" display="&lt;&lt;&lt; Inhalt" xr:uid="{788B5544-F197-4E8D-9561-F5B09F7A574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25"/>
  <sheetViews>
    <sheetView zoomScaleNormal="100" workbookViewId="0">
      <selection activeCell="A4" sqref="A4"/>
    </sheetView>
  </sheetViews>
  <sheetFormatPr baseColWidth="10" defaultRowHeight="12.75"/>
  <cols>
    <col min="1" max="1" width="90.28515625" style="3" customWidth="1"/>
    <col min="2" max="16384" width="11.42578125" style="3"/>
  </cols>
  <sheetData>
    <row r="1" spans="1:1" s="23" customFormat="1" ht="15.75">
      <c r="A1" s="29" t="s">
        <v>251</v>
      </c>
    </row>
    <row r="2" spans="1:1">
      <c r="A2" s="4"/>
    </row>
    <row r="3" spans="1:1">
      <c r="A3" s="4"/>
    </row>
    <row r="4" spans="1:1">
      <c r="A4" s="40" t="s">
        <v>551</v>
      </c>
    </row>
    <row r="5" spans="1:1" ht="38.25">
      <c r="A5" s="18" t="s">
        <v>473</v>
      </c>
    </row>
    <row r="6" spans="1:1" ht="25.5">
      <c r="A6" s="19" t="s">
        <v>350</v>
      </c>
    </row>
    <row r="7" spans="1:1" ht="25.5">
      <c r="A7" s="19" t="s">
        <v>202</v>
      </c>
    </row>
    <row r="8" spans="1:1">
      <c r="A8" s="19" t="s">
        <v>203</v>
      </c>
    </row>
    <row r="9" spans="1:1">
      <c r="A9" s="19" t="s">
        <v>204</v>
      </c>
    </row>
    <row r="10" spans="1:1" ht="25.5">
      <c r="A10" s="19" t="s">
        <v>205</v>
      </c>
    </row>
    <row r="11" spans="1:1" ht="25.5">
      <c r="A11" s="19" t="s">
        <v>206</v>
      </c>
    </row>
    <row r="12" spans="1:1" ht="25.5">
      <c r="A12" s="18" t="s">
        <v>492</v>
      </c>
    </row>
    <row r="13" spans="1:1" ht="25.5">
      <c r="A13" s="19" t="s">
        <v>207</v>
      </c>
    </row>
    <row r="14" spans="1:1">
      <c r="A14" s="19" t="s">
        <v>474</v>
      </c>
    </row>
    <row r="25" s="23" customFormat="1" ht="15.75"/>
  </sheetData>
  <phoneticPr fontId="2" type="noConversion"/>
  <hyperlinks>
    <hyperlink ref="A4" location="Inhalt!A1" display="&lt;&lt;&lt; Inhalt" xr:uid="{736E7B9D-3D0D-4BD2-A9F1-138559540F46}"/>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44"/>
  <sheetViews>
    <sheetView zoomScaleNormal="100" workbookViewId="0">
      <selection activeCell="A4" sqref="A4"/>
    </sheetView>
  </sheetViews>
  <sheetFormatPr baseColWidth="10" defaultRowHeight="12.75"/>
  <cols>
    <col min="1" max="1" width="38.5703125" style="3" customWidth="1"/>
    <col min="2" max="4" width="15.7109375" style="3" customWidth="1"/>
    <col min="5" max="16384" width="11.42578125" style="3"/>
  </cols>
  <sheetData>
    <row r="1" spans="1:4" s="23" customFormat="1" ht="15.75">
      <c r="A1" s="23" t="s">
        <v>252</v>
      </c>
    </row>
    <row r="2" spans="1:4">
      <c r="A2" s="3" t="s">
        <v>246</v>
      </c>
    </row>
    <row r="4" spans="1:4">
      <c r="A4" s="40" t="s">
        <v>551</v>
      </c>
    </row>
    <row r="6" spans="1:4">
      <c r="A6" s="3" t="s">
        <v>543</v>
      </c>
    </row>
    <row r="8" spans="1:4">
      <c r="A8" s="24"/>
      <c r="B8" s="24" t="s">
        <v>466</v>
      </c>
      <c r="C8" s="24" t="s">
        <v>480</v>
      </c>
      <c r="D8" s="24" t="s">
        <v>152</v>
      </c>
    </row>
    <row r="10" spans="1:4">
      <c r="A10" s="3" t="s">
        <v>148</v>
      </c>
      <c r="B10" s="30">
        <v>957943208.98000002</v>
      </c>
      <c r="C10" s="30">
        <v>1271287848.71</v>
      </c>
      <c r="D10" s="26">
        <f>C10/B10-1</f>
        <v>0.32710147824279012</v>
      </c>
    </row>
    <row r="11" spans="1:4">
      <c r="B11" s="30"/>
      <c r="C11" s="30"/>
      <c r="D11" s="26"/>
    </row>
    <row r="12" spans="1:4">
      <c r="A12" s="3" t="s">
        <v>29</v>
      </c>
      <c r="B12" s="30">
        <v>380216351.98000002</v>
      </c>
      <c r="C12" s="30">
        <v>381204286.70999998</v>
      </c>
      <c r="D12" s="26">
        <f t="shared" ref="D12:D20" si="0">C12/B12-1</f>
        <v>2.5983488738852145E-3</v>
      </c>
    </row>
    <row r="13" spans="1:4">
      <c r="A13" s="3" t="s">
        <v>241</v>
      </c>
      <c r="B13" s="30">
        <v>368498652.98000002</v>
      </c>
      <c r="C13" s="30">
        <v>368406257.70999998</v>
      </c>
      <c r="D13" s="26">
        <f t="shared" si="0"/>
        <v>-2.5073434937372685E-4</v>
      </c>
    </row>
    <row r="14" spans="1:4">
      <c r="A14" s="3" t="s">
        <v>240</v>
      </c>
      <c r="B14" s="30">
        <v>223720682</v>
      </c>
      <c r="C14" s="30">
        <v>220301763</v>
      </c>
      <c r="D14" s="26">
        <f t="shared" si="0"/>
        <v>-1.5282087330665273E-2</v>
      </c>
    </row>
    <row r="15" spans="1:4">
      <c r="A15" s="3" t="s">
        <v>239</v>
      </c>
      <c r="B15" s="30">
        <v>23739659.120000001</v>
      </c>
      <c r="C15" s="30">
        <v>21938985.120000001</v>
      </c>
      <c r="D15" s="26">
        <f t="shared" si="0"/>
        <v>-7.5850878519269971E-2</v>
      </c>
    </row>
    <row r="16" spans="1:4">
      <c r="A16" s="3" t="s">
        <v>238</v>
      </c>
      <c r="B16" s="30">
        <v>121038311.86</v>
      </c>
      <c r="C16" s="30">
        <v>126165509.59</v>
      </c>
      <c r="D16" s="26">
        <f t="shared" si="0"/>
        <v>4.2360122602588923E-2</v>
      </c>
    </row>
    <row r="17" spans="1:4">
      <c r="A17" s="3" t="s">
        <v>237</v>
      </c>
      <c r="B17" s="30">
        <v>11717699</v>
      </c>
      <c r="C17" s="30">
        <v>12798029</v>
      </c>
      <c r="D17" s="26">
        <f t="shared" si="0"/>
        <v>9.2196428667437269E-2</v>
      </c>
    </row>
    <row r="18" spans="1:4">
      <c r="A18" s="3" t="s">
        <v>30</v>
      </c>
      <c r="B18" s="30">
        <v>577726857</v>
      </c>
      <c r="C18" s="30">
        <v>890083562</v>
      </c>
      <c r="D18" s="26">
        <f t="shared" si="0"/>
        <v>0.54066502399074023</v>
      </c>
    </row>
    <row r="19" spans="1:4">
      <c r="A19" s="3" t="s">
        <v>236</v>
      </c>
      <c r="B19" s="30">
        <v>561606712</v>
      </c>
      <c r="C19" s="30">
        <v>872745681</v>
      </c>
      <c r="D19" s="26">
        <f t="shared" si="0"/>
        <v>0.55401575934156577</v>
      </c>
    </row>
    <row r="20" spans="1:4">
      <c r="A20" s="3" t="s">
        <v>235</v>
      </c>
      <c r="B20" s="30">
        <v>16120145</v>
      </c>
      <c r="C20" s="30">
        <v>17337881</v>
      </c>
      <c r="D20" s="26">
        <f t="shared" si="0"/>
        <v>7.5541255987461753E-2</v>
      </c>
    </row>
    <row r="21" spans="1:4">
      <c r="A21" s="3" t="s">
        <v>80</v>
      </c>
      <c r="B21" s="30">
        <v>0</v>
      </c>
      <c r="C21" s="30">
        <v>0</v>
      </c>
      <c r="D21" s="26" t="s">
        <v>89</v>
      </c>
    </row>
    <row r="26" spans="1:4" s="23" customFormat="1" ht="15.75">
      <c r="A26" s="23" t="s">
        <v>253</v>
      </c>
    </row>
    <row r="27" spans="1:4">
      <c r="A27" s="3" t="s">
        <v>245</v>
      </c>
    </row>
    <row r="29" spans="1:4">
      <c r="A29" s="3" t="s">
        <v>532</v>
      </c>
    </row>
    <row r="31" spans="1:4">
      <c r="A31" s="24"/>
      <c r="B31" s="24" t="str">
        <f>B8</f>
        <v>RJ 2019</v>
      </c>
      <c r="C31" s="24" t="str">
        <f>C8</f>
        <v>RJ 2020</v>
      </c>
    </row>
    <row r="32" spans="1:4">
      <c r="B32" s="30"/>
    </row>
    <row r="33" spans="1:3">
      <c r="A33" s="3" t="s">
        <v>148</v>
      </c>
      <c r="B33" s="26">
        <f>SUM(B35,B41,B44)</f>
        <v>1</v>
      </c>
      <c r="C33" s="26">
        <f>SUM(C35,C41,C44)</f>
        <v>1</v>
      </c>
    </row>
    <row r="34" spans="1:3">
      <c r="B34" s="26"/>
      <c r="C34" s="26"/>
    </row>
    <row r="35" spans="1:3">
      <c r="A35" s="3" t="s">
        <v>29</v>
      </c>
      <c r="B35" s="26">
        <f t="shared" ref="B35:C44" si="1">B12/B$10</f>
        <v>0.39690907395736669</v>
      </c>
      <c r="C35" s="26">
        <f t="shared" si="1"/>
        <v>0.29985678467454496</v>
      </c>
    </row>
    <row r="36" spans="1:3">
      <c r="A36" s="3" t="s">
        <v>241</v>
      </c>
      <c r="B36" s="26">
        <f t="shared" si="1"/>
        <v>0.38467693024555233</v>
      </c>
      <c r="C36" s="26">
        <f t="shared" si="1"/>
        <v>0.28978980494765905</v>
      </c>
    </row>
    <row r="37" spans="1:3">
      <c r="A37" s="3" t="s">
        <v>240</v>
      </c>
      <c r="B37" s="26">
        <f t="shared" si="1"/>
        <v>0.23354274021965624</v>
      </c>
      <c r="C37" s="26">
        <f t="shared" si="1"/>
        <v>0.17329022945003714</v>
      </c>
    </row>
    <row r="38" spans="1:3">
      <c r="A38" s="3" t="s">
        <v>239</v>
      </c>
      <c r="B38" s="26">
        <f t="shared" si="1"/>
        <v>2.4781906586380568E-2</v>
      </c>
      <c r="C38" s="26">
        <f t="shared" si="1"/>
        <v>1.7257291605722421E-2</v>
      </c>
    </row>
    <row r="39" spans="1:3">
      <c r="A39" s="3" t="s">
        <v>238</v>
      </c>
      <c r="B39" s="26">
        <f t="shared" si="1"/>
        <v>0.12635228343951552</v>
      </c>
      <c r="C39" s="26">
        <f t="shared" si="1"/>
        <v>9.9242283891899499E-2</v>
      </c>
    </row>
    <row r="40" spans="1:3">
      <c r="A40" s="3" t="s">
        <v>237</v>
      </c>
      <c r="B40" s="26">
        <f t="shared" si="1"/>
        <v>1.2232143711814384E-2</v>
      </c>
      <c r="C40" s="26">
        <f t="shared" si="1"/>
        <v>1.0066979726885932E-2</v>
      </c>
    </row>
    <row r="41" spans="1:3">
      <c r="A41" s="3" t="s">
        <v>30</v>
      </c>
      <c r="B41" s="26">
        <f t="shared" si="1"/>
        <v>0.60309092604263326</v>
      </c>
      <c r="C41" s="26">
        <f t="shared" si="1"/>
        <v>0.70014321532545498</v>
      </c>
    </row>
    <row r="42" spans="1:3">
      <c r="A42" s="3" t="s">
        <v>236</v>
      </c>
      <c r="B42" s="26">
        <f t="shared" si="1"/>
        <v>0.58626305477752516</v>
      </c>
      <c r="C42" s="26">
        <f t="shared" si="1"/>
        <v>0.68650517023787461</v>
      </c>
    </row>
    <row r="43" spans="1:3">
      <c r="A43" s="3" t="s">
        <v>235</v>
      </c>
      <c r="B43" s="26">
        <f t="shared" si="1"/>
        <v>1.6827871265108114E-2</v>
      </c>
      <c r="C43" s="26">
        <f t="shared" si="1"/>
        <v>1.3638045087580344E-2</v>
      </c>
    </row>
    <row r="44" spans="1:3">
      <c r="A44" s="3" t="s">
        <v>80</v>
      </c>
      <c r="B44" s="26">
        <f t="shared" si="1"/>
        <v>0</v>
      </c>
      <c r="C44" s="26">
        <f t="shared" si="1"/>
        <v>0</v>
      </c>
    </row>
  </sheetData>
  <customSheetViews>
    <customSheetView guid="{9E4C61FA-E6D1-438A-8921-8C22C886D6BA}" scale="150" showRuler="0">
      <selection activeCell="A5" sqref="A5"/>
      <pageMargins left="0.78740157480314965" right="0.78740157480314965" top="0.98425196850393704" bottom="0.98425196850393704" header="0.51181102362204722" footer="0.51181102362204722"/>
      <pageSetup paperSize="9" orientation="portrait" r:id="rId1"/>
      <headerFooter alignWithMargins="0"/>
    </customSheetView>
  </customSheetViews>
  <phoneticPr fontId="2" type="noConversion"/>
  <hyperlinks>
    <hyperlink ref="A4" location="Inhalt!A1" display="&lt;&lt;&lt; Inhalt" xr:uid="{3537D982-C8A5-4749-BC95-0298C3776D3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23"/>
  <sheetViews>
    <sheetView workbookViewId="0">
      <selection activeCell="G24" sqref="G24"/>
    </sheetView>
  </sheetViews>
  <sheetFormatPr baseColWidth="10" defaultRowHeight="12.75"/>
  <cols>
    <col min="1" max="16384" width="11.42578125" style="3"/>
  </cols>
  <sheetData>
    <row r="1" spans="1:1" s="4" customFormat="1"/>
    <row r="3" spans="1:1">
      <c r="A3" s="4" t="s">
        <v>385</v>
      </c>
    </row>
    <row r="23" s="23" customFormat="1" ht="15.75"/>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5"/>
  <sheetViews>
    <sheetView zoomScaleNormal="100" workbookViewId="0">
      <selection activeCell="A4" sqref="A4"/>
    </sheetView>
  </sheetViews>
  <sheetFormatPr baseColWidth="10" defaultRowHeight="12.75"/>
  <cols>
    <col min="1" max="1" width="107.28515625" style="3" customWidth="1"/>
    <col min="2" max="16384" width="11.42578125" style="3"/>
  </cols>
  <sheetData>
    <row r="1" spans="1:1" s="23" customFormat="1" ht="15.75">
      <c r="A1" s="29" t="s">
        <v>254</v>
      </c>
    </row>
    <row r="2" spans="1:1">
      <c r="A2" s="13"/>
    </row>
    <row r="3" spans="1:1">
      <c r="A3" s="13"/>
    </row>
    <row r="4" spans="1:1">
      <c r="A4" s="40" t="s">
        <v>551</v>
      </c>
    </row>
    <row r="5" spans="1:1">
      <c r="A5" s="14" t="s">
        <v>208</v>
      </c>
    </row>
    <row r="6" spans="1:1">
      <c r="A6" s="15" t="s">
        <v>209</v>
      </c>
    </row>
    <row r="7" spans="1:1" ht="25.5">
      <c r="A7" s="16" t="s">
        <v>493</v>
      </c>
    </row>
    <row r="8" spans="1:1">
      <c r="A8" s="17" t="s">
        <v>210</v>
      </c>
    </row>
    <row r="9" spans="1:1" ht="25.5">
      <c r="A9" s="17" t="s">
        <v>352</v>
      </c>
    </row>
    <row r="10" spans="1:1" ht="25.5">
      <c r="A10" s="17" t="s">
        <v>475</v>
      </c>
    </row>
    <row r="11" spans="1:1">
      <c r="A11" s="17" t="s">
        <v>351</v>
      </c>
    </row>
    <row r="25" s="23" customFormat="1" ht="15.75"/>
  </sheetData>
  <phoneticPr fontId="2" type="noConversion"/>
  <hyperlinks>
    <hyperlink ref="A4" location="Inhalt!A1" display="&lt;&lt;&lt; Inhalt" xr:uid="{3E4D9FCD-F699-433E-97CA-099B8CD5FB7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A1:A23"/>
  <sheetViews>
    <sheetView workbookViewId="0">
      <selection activeCell="G24" sqref="G24"/>
    </sheetView>
  </sheetViews>
  <sheetFormatPr baseColWidth="10" defaultRowHeight="12.75"/>
  <cols>
    <col min="1" max="16384" width="11.42578125" style="3"/>
  </cols>
  <sheetData>
    <row r="1" spans="1:1" s="4" customFormat="1"/>
    <row r="3" spans="1:1">
      <c r="A3" s="4" t="s">
        <v>431</v>
      </c>
    </row>
    <row r="23" s="23" customFormat="1" ht="15.75"/>
  </sheetData>
  <pageMargins left="0.7" right="0.7" top="0.78740157499999996" bottom="0.78740157499999996"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52"/>
  <sheetViews>
    <sheetView zoomScaleNormal="100" workbookViewId="0">
      <selection activeCell="A4" sqref="A4"/>
    </sheetView>
  </sheetViews>
  <sheetFormatPr baseColWidth="10" defaultRowHeight="12.75"/>
  <cols>
    <col min="1" max="1" width="28.28515625" style="11" customWidth="1"/>
    <col min="2" max="8" width="7.85546875" style="3" customWidth="1"/>
    <col min="9" max="16384" width="11.42578125" style="3"/>
  </cols>
  <sheetData>
    <row r="1" spans="1:8" s="23" customFormat="1" ht="15.75">
      <c r="A1" s="29" t="s">
        <v>255</v>
      </c>
    </row>
    <row r="2" spans="1:8">
      <c r="A2" s="11" t="s">
        <v>483</v>
      </c>
    </row>
    <row r="4" spans="1:8">
      <c r="A4" s="40" t="s">
        <v>551</v>
      </c>
    </row>
    <row r="6" spans="1:8">
      <c r="A6" s="11" t="s">
        <v>533</v>
      </c>
    </row>
    <row r="9" spans="1:8">
      <c r="A9" s="35" t="s">
        <v>175</v>
      </c>
      <c r="B9" s="32">
        <v>50000</v>
      </c>
      <c r="C9" s="32">
        <v>60000</v>
      </c>
      <c r="D9" s="32">
        <v>70000</v>
      </c>
      <c r="E9" s="32">
        <v>80000</v>
      </c>
      <c r="F9" s="32">
        <v>100000</v>
      </c>
      <c r="G9" s="32">
        <v>150000</v>
      </c>
      <c r="H9" s="32">
        <v>200000</v>
      </c>
    </row>
    <row r="10" spans="1:8">
      <c r="B10" s="30"/>
      <c r="C10" s="30"/>
      <c r="D10" s="30"/>
      <c r="E10" s="30"/>
      <c r="F10" s="30"/>
      <c r="G10" s="30"/>
      <c r="H10" s="30"/>
    </row>
    <row r="11" spans="1:8">
      <c r="A11" s="11" t="s">
        <v>107</v>
      </c>
      <c r="B11" s="30">
        <v>1543.3599999999997</v>
      </c>
      <c r="C11" s="30">
        <v>2404.48</v>
      </c>
      <c r="D11" s="30">
        <v>3313.4400000000005</v>
      </c>
      <c r="E11" s="30">
        <v>4223.4400000000005</v>
      </c>
      <c r="F11" s="30">
        <v>6350.5</v>
      </c>
      <c r="G11" s="30">
        <v>12717.64</v>
      </c>
      <c r="H11" s="30">
        <v>20219.940000000002</v>
      </c>
    </row>
    <row r="12" spans="1:8">
      <c r="A12" s="11" t="s">
        <v>108</v>
      </c>
      <c r="B12" s="26">
        <v>3.0867199999999994E-2</v>
      </c>
      <c r="C12" s="26">
        <v>4.0074666666666668E-2</v>
      </c>
      <c r="D12" s="26">
        <v>4.7334857142857151E-2</v>
      </c>
      <c r="E12" s="26">
        <v>5.2793000000000007E-2</v>
      </c>
      <c r="F12" s="26">
        <v>6.3505000000000006E-2</v>
      </c>
      <c r="G12" s="26">
        <v>8.4784266666666663E-2</v>
      </c>
      <c r="H12" s="26">
        <v>0.10109970000000001</v>
      </c>
    </row>
    <row r="13" spans="1:8">
      <c r="B13" s="30"/>
      <c r="C13" s="30"/>
      <c r="D13" s="30"/>
      <c r="E13" s="30"/>
      <c r="F13" s="30"/>
      <c r="G13" s="30"/>
      <c r="H13" s="30"/>
    </row>
    <row r="14" spans="1:8">
      <c r="B14" s="30"/>
      <c r="C14" s="30"/>
      <c r="D14" s="30"/>
      <c r="E14" s="30"/>
      <c r="F14" s="30"/>
      <c r="G14" s="30"/>
      <c r="H14" s="30"/>
    </row>
    <row r="15" spans="1:8">
      <c r="B15" s="30"/>
      <c r="C15" s="30"/>
      <c r="D15" s="30"/>
      <c r="E15" s="30"/>
      <c r="F15" s="30"/>
      <c r="G15" s="30"/>
      <c r="H15" s="30"/>
    </row>
    <row r="16" spans="1:8">
      <c r="B16" s="30"/>
      <c r="C16" s="30"/>
      <c r="D16" s="30"/>
      <c r="E16" s="30"/>
      <c r="F16" s="30"/>
      <c r="G16" s="30"/>
      <c r="H16" s="30"/>
    </row>
    <row r="17" spans="1:8" s="23" customFormat="1" ht="15.75">
      <c r="A17" s="29" t="s">
        <v>256</v>
      </c>
      <c r="B17" s="34"/>
      <c r="C17" s="34"/>
      <c r="D17" s="34"/>
      <c r="E17" s="34"/>
      <c r="F17" s="34"/>
      <c r="G17" s="34"/>
      <c r="H17" s="34"/>
    </row>
    <row r="18" spans="1:8">
      <c r="A18" s="11" t="s">
        <v>484</v>
      </c>
      <c r="B18" s="30"/>
      <c r="C18" s="30"/>
      <c r="D18" s="30"/>
      <c r="E18" s="30"/>
      <c r="F18" s="30"/>
      <c r="G18" s="30"/>
    </row>
    <row r="19" spans="1:8">
      <c r="B19" s="30"/>
      <c r="C19" s="30"/>
      <c r="D19" s="30"/>
      <c r="E19" s="30"/>
      <c r="F19" s="30"/>
      <c r="G19" s="30"/>
      <c r="H19" s="30"/>
    </row>
    <row r="20" spans="1:8">
      <c r="A20" s="33" t="s">
        <v>534</v>
      </c>
      <c r="B20" s="30"/>
      <c r="C20" s="30"/>
      <c r="D20" s="30"/>
      <c r="E20" s="30"/>
      <c r="F20" s="30"/>
      <c r="G20" s="30"/>
      <c r="H20" s="30"/>
    </row>
    <row r="21" spans="1:8">
      <c r="B21" s="30"/>
      <c r="C21" s="30"/>
      <c r="D21" s="30"/>
      <c r="E21" s="30"/>
      <c r="F21" s="30"/>
      <c r="G21" s="30"/>
      <c r="H21" s="30"/>
    </row>
    <row r="22" spans="1:8">
      <c r="B22" s="30"/>
      <c r="C22" s="30"/>
      <c r="D22" s="30"/>
      <c r="E22" s="30"/>
      <c r="F22" s="30"/>
      <c r="G22" s="30"/>
      <c r="H22" s="30"/>
    </row>
    <row r="23" spans="1:8">
      <c r="A23" s="35" t="s">
        <v>116</v>
      </c>
      <c r="B23" s="32">
        <v>50000</v>
      </c>
      <c r="C23" s="32">
        <v>60000</v>
      </c>
      <c r="D23" s="32">
        <v>70000</v>
      </c>
      <c r="E23" s="32">
        <v>80000</v>
      </c>
      <c r="F23" s="32">
        <v>100000</v>
      </c>
      <c r="G23" s="32">
        <v>150000</v>
      </c>
      <c r="H23" s="32">
        <v>200000</v>
      </c>
    </row>
    <row r="24" spans="1:8">
      <c r="B24" s="30"/>
      <c r="C24" s="30"/>
      <c r="D24" s="30"/>
      <c r="E24" s="30"/>
      <c r="F24" s="30"/>
      <c r="G24" s="30"/>
      <c r="H24" s="30"/>
    </row>
    <row r="25" spans="1:8">
      <c r="A25" s="11" t="s">
        <v>109</v>
      </c>
      <c r="B25" s="30"/>
      <c r="C25" s="30"/>
      <c r="D25" s="30"/>
      <c r="E25" s="30"/>
      <c r="F25" s="30"/>
      <c r="G25" s="30"/>
      <c r="H25" s="30"/>
    </row>
    <row r="26" spans="1:8">
      <c r="A26" s="11" t="s">
        <v>287</v>
      </c>
      <c r="B26" s="30">
        <v>3275</v>
      </c>
      <c r="C26" s="30">
        <v>3930</v>
      </c>
      <c r="D26" s="30">
        <v>4585</v>
      </c>
      <c r="E26" s="30">
        <v>5240</v>
      </c>
      <c r="F26" s="30">
        <v>6550</v>
      </c>
      <c r="G26" s="30">
        <v>9705</v>
      </c>
      <c r="H26" s="30">
        <v>12730</v>
      </c>
    </row>
    <row r="27" spans="1:8">
      <c r="A27" s="11" t="s">
        <v>118</v>
      </c>
      <c r="B27" s="30">
        <v>3000</v>
      </c>
      <c r="C27" s="30">
        <v>3600</v>
      </c>
      <c r="D27" s="30">
        <v>4200</v>
      </c>
      <c r="E27" s="30">
        <v>4800</v>
      </c>
      <c r="F27" s="30">
        <v>6000</v>
      </c>
      <c r="G27" s="30">
        <v>9000</v>
      </c>
      <c r="H27" s="30">
        <v>12000</v>
      </c>
    </row>
    <row r="28" spans="1:8">
      <c r="A28" s="11" t="s">
        <v>70</v>
      </c>
      <c r="B28" s="30">
        <v>3500</v>
      </c>
      <c r="C28" s="30">
        <v>3500</v>
      </c>
      <c r="D28" s="30">
        <v>3500</v>
      </c>
      <c r="E28" s="30">
        <v>3500</v>
      </c>
      <c r="F28" s="30">
        <v>3500</v>
      </c>
      <c r="G28" s="30">
        <v>3500</v>
      </c>
      <c r="H28" s="30">
        <v>3500</v>
      </c>
    </row>
    <row r="29" spans="1:8">
      <c r="A29" s="11" t="s">
        <v>178</v>
      </c>
      <c r="B29" s="30">
        <v>0</v>
      </c>
      <c r="C29" s="30">
        <v>0</v>
      </c>
      <c r="D29" s="30">
        <v>0</v>
      </c>
      <c r="E29" s="30">
        <v>0</v>
      </c>
      <c r="F29" s="30">
        <v>0</v>
      </c>
      <c r="G29" s="30">
        <v>0</v>
      </c>
      <c r="H29" s="30">
        <v>0</v>
      </c>
    </row>
    <row r="30" spans="1:8">
      <c r="A30" s="11" t="s">
        <v>110</v>
      </c>
      <c r="B30" s="30">
        <v>300</v>
      </c>
      <c r="C30" s="30">
        <v>300</v>
      </c>
      <c r="D30" s="30">
        <v>300</v>
      </c>
      <c r="E30" s="30">
        <v>300</v>
      </c>
      <c r="F30" s="30">
        <v>300</v>
      </c>
      <c r="G30" s="30">
        <v>300</v>
      </c>
      <c r="H30" s="30">
        <v>300</v>
      </c>
    </row>
    <row r="31" spans="1:8">
      <c r="A31" s="11" t="s">
        <v>112</v>
      </c>
      <c r="B31" s="30">
        <v>1500</v>
      </c>
      <c r="C31" s="30">
        <v>1500</v>
      </c>
      <c r="D31" s="30">
        <v>1500</v>
      </c>
      <c r="E31" s="30">
        <v>1500</v>
      </c>
      <c r="F31" s="30">
        <v>1500</v>
      </c>
      <c r="G31" s="30">
        <v>1500</v>
      </c>
      <c r="H31" s="30">
        <v>1500</v>
      </c>
    </row>
    <row r="32" spans="1:8">
      <c r="A32" s="11" t="s">
        <v>113</v>
      </c>
      <c r="B32" s="30">
        <v>300</v>
      </c>
      <c r="C32" s="30">
        <v>300</v>
      </c>
      <c r="D32" s="30">
        <v>300</v>
      </c>
      <c r="E32" s="30">
        <v>300</v>
      </c>
      <c r="F32" s="30">
        <v>300</v>
      </c>
      <c r="G32" s="30">
        <v>300</v>
      </c>
      <c r="H32" s="30">
        <v>300</v>
      </c>
    </row>
    <row r="33" spans="1:8">
      <c r="A33" s="11" t="s">
        <v>115</v>
      </c>
      <c r="B33" s="30">
        <f>SUM(B26:B32)</f>
        <v>11875</v>
      </c>
      <c r="C33" s="30">
        <f t="shared" ref="C33:H33" si="0">SUM(C26:C32)</f>
        <v>13130</v>
      </c>
      <c r="D33" s="30">
        <f t="shared" si="0"/>
        <v>14385</v>
      </c>
      <c r="E33" s="30">
        <f t="shared" si="0"/>
        <v>15640</v>
      </c>
      <c r="F33" s="30">
        <f t="shared" si="0"/>
        <v>18150</v>
      </c>
      <c r="G33" s="30">
        <f t="shared" si="0"/>
        <v>24305</v>
      </c>
      <c r="H33" s="30">
        <f t="shared" si="0"/>
        <v>30330</v>
      </c>
    </row>
    <row r="34" spans="1:8">
      <c r="B34" s="30"/>
      <c r="C34" s="30"/>
      <c r="D34" s="30"/>
      <c r="E34" s="30"/>
      <c r="F34" s="30"/>
      <c r="G34" s="30"/>
      <c r="H34" s="30"/>
    </row>
    <row r="35" spans="1:8">
      <c r="A35" s="11" t="s">
        <v>288</v>
      </c>
      <c r="B35" s="30">
        <f>B23-B33</f>
        <v>38125</v>
      </c>
      <c r="C35" s="30">
        <f t="shared" ref="C35:H35" si="1">C23-C33</f>
        <v>46870</v>
      </c>
      <c r="D35" s="30">
        <f t="shared" si="1"/>
        <v>55615</v>
      </c>
      <c r="E35" s="30">
        <f t="shared" si="1"/>
        <v>64360</v>
      </c>
      <c r="F35" s="30">
        <f t="shared" si="1"/>
        <v>81850</v>
      </c>
      <c r="G35" s="30">
        <f t="shared" si="1"/>
        <v>125695</v>
      </c>
      <c r="H35" s="30">
        <f t="shared" si="1"/>
        <v>169670</v>
      </c>
    </row>
    <row r="36" spans="1:8">
      <c r="B36" s="30"/>
      <c r="C36" s="30"/>
      <c r="D36" s="30"/>
      <c r="E36" s="30"/>
      <c r="F36" s="30"/>
      <c r="G36" s="30"/>
      <c r="H36" s="30"/>
    </row>
    <row r="37" spans="1:8">
      <c r="A37" s="11" t="s">
        <v>176</v>
      </c>
      <c r="B37" s="26">
        <f t="shared" ref="B37:F37" si="2">IF(B35&lt;15000,0,IF(B35&lt;20000,0.01,IF(B35&lt;40000,0.03,IF(B35&lt;70000,0.04,IF(B35&lt;100000,0.05,IF(B35&lt;130000,0.06,IF(B35&lt;160000,0.065,IF(B35&lt;200000,0.07,0.08))))))))</f>
        <v>0.03</v>
      </c>
      <c r="C37" s="26">
        <f t="shared" si="2"/>
        <v>0.04</v>
      </c>
      <c r="D37" s="26">
        <f t="shared" si="2"/>
        <v>0.04</v>
      </c>
      <c r="E37" s="26">
        <f t="shared" si="2"/>
        <v>0.04</v>
      </c>
      <c r="F37" s="26">
        <f t="shared" si="2"/>
        <v>0.05</v>
      </c>
      <c r="G37" s="26">
        <f t="shared" ref="G37:H37" si="3">IF(G35&lt;15000,0,IF(G35&lt;20000,0.01,IF(G35&lt;40000,0.03,IF(G35&lt;70000,0.04,IF(G35&lt;100000,0.05,IF(G35&lt;130000,0.06,IF(G35&lt;160000,0.065,IF(G35&lt;200000,0.07,0.08))))))))</f>
        <v>0.06</v>
      </c>
      <c r="H37" s="26">
        <f t="shared" si="3"/>
        <v>7.0000000000000007E-2</v>
      </c>
    </row>
    <row r="38" spans="1:8">
      <c r="A38" s="11" t="s">
        <v>177</v>
      </c>
      <c r="B38" s="30">
        <f>B35*B37</f>
        <v>1143.75</v>
      </c>
      <c r="C38" s="30">
        <f t="shared" ref="C38:H38" si="4">C35*C37</f>
        <v>1874.8</v>
      </c>
      <c r="D38" s="30">
        <f t="shared" si="4"/>
        <v>2224.6</v>
      </c>
      <c r="E38" s="30">
        <f t="shared" si="4"/>
        <v>2574.4</v>
      </c>
      <c r="F38" s="30">
        <f t="shared" si="4"/>
        <v>4092.5</v>
      </c>
      <c r="G38" s="30">
        <f t="shared" si="4"/>
        <v>7541.7</v>
      </c>
      <c r="H38" s="30">
        <f t="shared" si="4"/>
        <v>11876.900000000001</v>
      </c>
    </row>
    <row r="39" spans="1:8">
      <c r="A39" s="11" t="s">
        <v>58</v>
      </c>
      <c r="B39" s="30">
        <f t="shared" ref="B39:H39" si="5">IF(B35&lt;15000,0,IF(B35&lt;20000,150,IF(B35&lt;40000,550,IF(B35&lt;70000,950,IF(B35&lt;100000,1650,IF(B35&lt;130000,2650,IF(B35&lt;160000,3300,IF(B35&lt;200000,4100,6100))))))))</f>
        <v>550</v>
      </c>
      <c r="C39" s="30">
        <f t="shared" si="5"/>
        <v>950</v>
      </c>
      <c r="D39" s="30">
        <f t="shared" si="5"/>
        <v>950</v>
      </c>
      <c r="E39" s="30">
        <f t="shared" si="5"/>
        <v>950</v>
      </c>
      <c r="F39" s="30">
        <f t="shared" si="5"/>
        <v>1650</v>
      </c>
      <c r="G39" s="30">
        <f t="shared" si="5"/>
        <v>2650</v>
      </c>
      <c r="H39" s="30">
        <f t="shared" si="5"/>
        <v>4100</v>
      </c>
    </row>
    <row r="40" spans="1:8">
      <c r="B40" s="30"/>
      <c r="C40" s="30"/>
      <c r="D40" s="30"/>
      <c r="E40" s="30"/>
      <c r="F40" s="30"/>
      <c r="G40" s="30"/>
      <c r="H40" s="30"/>
    </row>
    <row r="41" spans="1:8">
      <c r="A41" s="11" t="s">
        <v>117</v>
      </c>
      <c r="B41" s="30">
        <f>B38-B39</f>
        <v>593.75</v>
      </c>
      <c r="C41" s="30">
        <f t="shared" ref="C41:H41" si="6">C38-C39</f>
        <v>924.8</v>
      </c>
      <c r="D41" s="30">
        <f t="shared" si="6"/>
        <v>1274.5999999999999</v>
      </c>
      <c r="E41" s="30">
        <f t="shared" si="6"/>
        <v>1624.4</v>
      </c>
      <c r="F41" s="30">
        <f>F38-F39</f>
        <v>2442.5</v>
      </c>
      <c r="G41" s="30">
        <f t="shared" si="6"/>
        <v>4891.7</v>
      </c>
      <c r="H41" s="30">
        <f t="shared" si="6"/>
        <v>7776.9000000000015</v>
      </c>
    </row>
    <row r="42" spans="1:8">
      <c r="A42" s="11" t="s">
        <v>121</v>
      </c>
      <c r="B42" s="30">
        <f>B41*1.6</f>
        <v>950</v>
      </c>
      <c r="C42" s="30">
        <f t="shared" ref="C42:H42" si="7">C41*1.6</f>
        <v>1479.68</v>
      </c>
      <c r="D42" s="30">
        <f t="shared" si="7"/>
        <v>2039.36</v>
      </c>
      <c r="E42" s="30">
        <f t="shared" si="7"/>
        <v>2599.0400000000004</v>
      </c>
      <c r="F42" s="30">
        <f t="shared" si="7"/>
        <v>3908</v>
      </c>
      <c r="G42" s="30">
        <f t="shared" si="7"/>
        <v>7826.72</v>
      </c>
      <c r="H42" s="30">
        <f t="shared" si="7"/>
        <v>12443.040000000003</v>
      </c>
    </row>
    <row r="43" spans="1:8">
      <c r="A43" s="11" t="s">
        <v>114</v>
      </c>
      <c r="B43" s="30">
        <f>B41+B42</f>
        <v>1543.75</v>
      </c>
      <c r="C43" s="30">
        <f t="shared" ref="C43:H43" si="8">C41+C42</f>
        <v>2404.48</v>
      </c>
      <c r="D43" s="30">
        <f t="shared" si="8"/>
        <v>3313.96</v>
      </c>
      <c r="E43" s="30">
        <f t="shared" si="8"/>
        <v>4223.4400000000005</v>
      </c>
      <c r="F43" s="30">
        <f t="shared" si="8"/>
        <v>6350.5</v>
      </c>
      <c r="G43" s="30">
        <f t="shared" si="8"/>
        <v>12718.42</v>
      </c>
      <c r="H43" s="30">
        <f t="shared" si="8"/>
        <v>20219.940000000002</v>
      </c>
    </row>
    <row r="44" spans="1:8">
      <c r="B44" s="30"/>
      <c r="C44" s="30"/>
      <c r="D44" s="30"/>
      <c r="E44" s="30"/>
      <c r="F44" s="30"/>
      <c r="G44" s="30"/>
      <c r="H44" s="30"/>
    </row>
    <row r="45" spans="1:8">
      <c r="A45" s="12" t="s">
        <v>306</v>
      </c>
    </row>
    <row r="46" spans="1:8">
      <c r="A46" s="27" t="s">
        <v>231</v>
      </c>
      <c r="B46" s="27"/>
      <c r="C46" s="27"/>
      <c r="D46" s="27"/>
      <c r="E46" s="27"/>
      <c r="F46" s="27"/>
      <c r="G46" s="27"/>
      <c r="H46" s="27"/>
    </row>
    <row r="47" spans="1:8">
      <c r="A47" s="27" t="s">
        <v>86</v>
      </c>
      <c r="B47" s="27"/>
      <c r="C47" s="27"/>
      <c r="D47" s="27"/>
      <c r="E47" s="27"/>
      <c r="F47" s="27"/>
      <c r="G47" s="27"/>
      <c r="H47" s="27"/>
    </row>
    <row r="48" spans="1:8" ht="27.75" customHeight="1">
      <c r="A48" s="21" t="s">
        <v>211</v>
      </c>
      <c r="B48" s="21"/>
      <c r="C48" s="21"/>
      <c r="D48" s="21"/>
      <c r="E48" s="21"/>
      <c r="F48" s="21"/>
      <c r="G48" s="21"/>
      <c r="H48" s="21"/>
    </row>
    <row r="49" spans="1:8" ht="26.25" customHeight="1">
      <c r="A49" s="21" t="s">
        <v>212</v>
      </c>
      <c r="B49" s="21"/>
      <c r="C49" s="21"/>
      <c r="D49" s="21"/>
      <c r="E49" s="21"/>
      <c r="F49" s="21"/>
      <c r="G49" s="21"/>
      <c r="H49" s="21"/>
    </row>
    <row r="51" spans="1:8">
      <c r="A51" s="12" t="s">
        <v>143</v>
      </c>
    </row>
    <row r="52" spans="1:8">
      <c r="A52" s="11" t="s">
        <v>153</v>
      </c>
    </row>
  </sheetData>
  <mergeCells count="4">
    <mergeCell ref="A46:H46"/>
    <mergeCell ref="A47:H47"/>
    <mergeCell ref="A48:H48"/>
    <mergeCell ref="A49:H49"/>
  </mergeCells>
  <hyperlinks>
    <hyperlink ref="A4" location="Inhalt!A1" display="&lt;&lt;&lt; Inhalt" xr:uid="{501B160B-3E6B-484B-8BB1-8A4EA25A5FF5}"/>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52"/>
  <sheetViews>
    <sheetView zoomScaleNormal="100" workbookViewId="0">
      <selection activeCell="A4" sqref="A4"/>
    </sheetView>
  </sheetViews>
  <sheetFormatPr baseColWidth="10" defaultRowHeight="12.75"/>
  <cols>
    <col min="1" max="1" width="28.28515625" style="11" customWidth="1"/>
    <col min="2" max="8" width="7.85546875" style="3" customWidth="1"/>
    <col min="9" max="9" width="30.5703125" style="3" customWidth="1"/>
    <col min="10" max="16384" width="11.42578125" style="3"/>
  </cols>
  <sheetData>
    <row r="1" spans="1:8" s="23" customFormat="1" ht="15.75">
      <c r="A1" s="29" t="s">
        <v>264</v>
      </c>
    </row>
    <row r="2" spans="1:8">
      <c r="A2" s="11" t="s">
        <v>483</v>
      </c>
    </row>
    <row r="4" spans="1:8">
      <c r="A4" s="40" t="s">
        <v>551</v>
      </c>
    </row>
    <row r="6" spans="1:8">
      <c r="A6" s="11" t="s">
        <v>537</v>
      </c>
    </row>
    <row r="9" spans="1:8">
      <c r="A9" s="35" t="s">
        <v>175</v>
      </c>
      <c r="B9" s="37">
        <v>50000</v>
      </c>
      <c r="C9" s="37">
        <v>60000</v>
      </c>
      <c r="D9" s="37">
        <v>70000</v>
      </c>
      <c r="E9" s="37">
        <v>80000</v>
      </c>
      <c r="F9" s="37">
        <v>100000</v>
      </c>
      <c r="G9" s="37">
        <v>150000</v>
      </c>
      <c r="H9" s="37">
        <v>200000</v>
      </c>
    </row>
    <row r="10" spans="1:8">
      <c r="B10" s="37"/>
      <c r="C10" s="37"/>
      <c r="D10" s="37"/>
      <c r="E10" s="37"/>
      <c r="F10" s="37"/>
      <c r="G10" s="37"/>
      <c r="H10" s="37"/>
    </row>
    <row r="11" spans="1:8">
      <c r="A11" s="11" t="s">
        <v>107</v>
      </c>
      <c r="B11" s="30">
        <f>B43</f>
        <v>112.45</v>
      </c>
      <c r="C11" s="30">
        <f t="shared" ref="C11:H11" si="0">C43</f>
        <v>499.45999999999981</v>
      </c>
      <c r="D11" s="30">
        <f t="shared" si="0"/>
        <v>1181.5700000000002</v>
      </c>
      <c r="E11" s="30">
        <f t="shared" si="0"/>
        <v>1863.6799999999998</v>
      </c>
      <c r="F11" s="30">
        <f t="shared" si="0"/>
        <v>3227.9</v>
      </c>
      <c r="G11" s="30">
        <f t="shared" si="0"/>
        <v>7737.0800000000008</v>
      </c>
      <c r="H11" s="30">
        <f t="shared" si="0"/>
        <v>12983.1</v>
      </c>
    </row>
    <row r="12" spans="1:8">
      <c r="A12" s="11" t="s">
        <v>108</v>
      </c>
      <c r="B12" s="36">
        <f>B11/B9</f>
        <v>2.2490000000000001E-3</v>
      </c>
      <c r="C12" s="36">
        <f t="shared" ref="C12:H12" si="1">C11/C9</f>
        <v>8.3243333333333294E-3</v>
      </c>
      <c r="D12" s="36">
        <f t="shared" si="1"/>
        <v>1.6879571428571431E-2</v>
      </c>
      <c r="E12" s="36">
        <f t="shared" si="1"/>
        <v>2.3295999999999997E-2</v>
      </c>
      <c r="F12" s="36">
        <f t="shared" si="1"/>
        <v>3.2279000000000002E-2</v>
      </c>
      <c r="G12" s="36">
        <f t="shared" si="1"/>
        <v>5.1580533333333338E-2</v>
      </c>
      <c r="H12" s="36">
        <f t="shared" si="1"/>
        <v>6.4915500000000001E-2</v>
      </c>
    </row>
    <row r="17" spans="1:8" s="23" customFormat="1" ht="15.75">
      <c r="A17" s="29" t="s">
        <v>257</v>
      </c>
    </row>
    <row r="18" spans="1:8">
      <c r="A18" s="11" t="s">
        <v>484</v>
      </c>
    </row>
    <row r="20" spans="1:8">
      <c r="A20" s="11" t="s">
        <v>538</v>
      </c>
    </row>
    <row r="23" spans="1:8">
      <c r="A23" s="35" t="s">
        <v>116</v>
      </c>
      <c r="B23" s="37">
        <v>50000</v>
      </c>
      <c r="C23" s="37">
        <v>60000</v>
      </c>
      <c r="D23" s="37">
        <v>70000</v>
      </c>
      <c r="E23" s="37">
        <v>80000</v>
      </c>
      <c r="F23" s="37">
        <v>100000</v>
      </c>
      <c r="G23" s="37">
        <v>150000</v>
      </c>
      <c r="H23" s="37">
        <v>200000</v>
      </c>
    </row>
    <row r="25" spans="1:8">
      <c r="A25" s="11" t="s">
        <v>109</v>
      </c>
    </row>
    <row r="26" spans="1:8">
      <c r="A26" s="11" t="s">
        <v>287</v>
      </c>
      <c r="B26" s="30">
        <v>3275</v>
      </c>
      <c r="C26" s="30">
        <v>3930</v>
      </c>
      <c r="D26" s="30">
        <v>4585</v>
      </c>
      <c r="E26" s="30">
        <v>5240</v>
      </c>
      <c r="F26" s="30">
        <v>6550</v>
      </c>
      <c r="G26" s="30">
        <v>9705</v>
      </c>
      <c r="H26" s="30">
        <v>12730</v>
      </c>
    </row>
    <row r="27" spans="1:8">
      <c r="A27" s="11" t="s">
        <v>118</v>
      </c>
      <c r="B27" s="30">
        <v>3000</v>
      </c>
      <c r="C27" s="30">
        <v>3600</v>
      </c>
      <c r="D27" s="30">
        <v>4200</v>
      </c>
      <c r="E27" s="30">
        <v>4800</v>
      </c>
      <c r="F27" s="30">
        <v>6000</v>
      </c>
      <c r="G27" s="30">
        <v>9000</v>
      </c>
      <c r="H27" s="30">
        <v>12000</v>
      </c>
    </row>
    <row r="28" spans="1:8">
      <c r="A28" s="11" t="s">
        <v>70</v>
      </c>
      <c r="B28" s="30">
        <v>7000</v>
      </c>
      <c r="C28" s="30">
        <v>7000</v>
      </c>
      <c r="D28" s="30">
        <v>7000</v>
      </c>
      <c r="E28" s="30">
        <v>7000</v>
      </c>
      <c r="F28" s="30">
        <v>7000</v>
      </c>
      <c r="G28" s="30">
        <v>7000</v>
      </c>
      <c r="H28" s="30">
        <v>7000</v>
      </c>
    </row>
    <row r="29" spans="1:8">
      <c r="A29" s="11" t="s">
        <v>178</v>
      </c>
      <c r="B29" s="30">
        <v>0</v>
      </c>
      <c r="C29" s="30">
        <v>0</v>
      </c>
      <c r="D29" s="30">
        <v>0</v>
      </c>
      <c r="E29" s="30">
        <v>0</v>
      </c>
      <c r="F29" s="30">
        <v>0</v>
      </c>
      <c r="G29" s="30">
        <v>0</v>
      </c>
      <c r="H29" s="30">
        <v>0</v>
      </c>
    </row>
    <row r="30" spans="1:8">
      <c r="A30" s="11" t="s">
        <v>110</v>
      </c>
      <c r="B30" s="30">
        <v>600</v>
      </c>
      <c r="C30" s="30">
        <v>600</v>
      </c>
      <c r="D30" s="30">
        <v>600</v>
      </c>
      <c r="E30" s="30">
        <v>600</v>
      </c>
      <c r="F30" s="30">
        <v>600</v>
      </c>
      <c r="G30" s="30">
        <v>600</v>
      </c>
      <c r="H30" s="30">
        <v>600</v>
      </c>
    </row>
    <row r="31" spans="1:8">
      <c r="A31" s="11" t="s">
        <v>112</v>
      </c>
      <c r="B31" s="30">
        <v>1500</v>
      </c>
      <c r="C31" s="30">
        <v>1500</v>
      </c>
      <c r="D31" s="30">
        <v>1500</v>
      </c>
      <c r="E31" s="30">
        <v>1500</v>
      </c>
      <c r="F31" s="30">
        <v>1500</v>
      </c>
      <c r="G31" s="30">
        <v>1500</v>
      </c>
      <c r="H31" s="30">
        <v>1500</v>
      </c>
    </row>
    <row r="32" spans="1:8">
      <c r="A32" s="11" t="s">
        <v>113</v>
      </c>
      <c r="B32" s="30">
        <v>300</v>
      </c>
      <c r="C32" s="30">
        <v>300</v>
      </c>
      <c r="D32" s="30">
        <v>300</v>
      </c>
      <c r="E32" s="30">
        <v>300</v>
      </c>
      <c r="F32" s="30">
        <v>300</v>
      </c>
      <c r="G32" s="30">
        <v>300</v>
      </c>
      <c r="H32" s="30">
        <v>300</v>
      </c>
    </row>
    <row r="33" spans="1:8">
      <c r="A33" s="11" t="s">
        <v>115</v>
      </c>
      <c r="B33" s="30">
        <f>SUM(B26:B32)</f>
        <v>15675</v>
      </c>
      <c r="C33" s="30">
        <f t="shared" ref="C33:H33" si="2">SUM(C26:C32)</f>
        <v>16930</v>
      </c>
      <c r="D33" s="30">
        <f t="shared" si="2"/>
        <v>18185</v>
      </c>
      <c r="E33" s="30">
        <f t="shared" si="2"/>
        <v>19440</v>
      </c>
      <c r="F33" s="30">
        <f t="shared" si="2"/>
        <v>21950</v>
      </c>
      <c r="G33" s="30">
        <f t="shared" si="2"/>
        <v>28105</v>
      </c>
      <c r="H33" s="30">
        <f t="shared" si="2"/>
        <v>34130</v>
      </c>
    </row>
    <row r="35" spans="1:8">
      <c r="A35" s="11" t="s">
        <v>288</v>
      </c>
      <c r="B35" s="30">
        <f>B23-B33</f>
        <v>34325</v>
      </c>
      <c r="C35" s="30">
        <f t="shared" ref="C35:H35" si="3">C23-C33</f>
        <v>43070</v>
      </c>
      <c r="D35" s="30">
        <f t="shared" si="3"/>
        <v>51815</v>
      </c>
      <c r="E35" s="30">
        <f t="shared" si="3"/>
        <v>60560</v>
      </c>
      <c r="F35" s="30">
        <f t="shared" si="3"/>
        <v>78050</v>
      </c>
      <c r="G35" s="30">
        <f t="shared" si="3"/>
        <v>121895</v>
      </c>
      <c r="H35" s="30">
        <f t="shared" si="3"/>
        <v>165870</v>
      </c>
    </row>
    <row r="37" spans="1:8">
      <c r="A37" s="11" t="s">
        <v>176</v>
      </c>
      <c r="B37" s="36">
        <f>IF(B35&lt;30000,0,IF(B35&lt;40000,0.01,IF(B35&lt;80000,0.03,IF(B35&lt;140000,0.04,IF(B35&lt;200000,0.05,IF(B35&lt;260000,0.06,IF(B35&lt;320000,0.065,IF(B35&lt;400000,0.07,0.08))))))))</f>
        <v>0.01</v>
      </c>
      <c r="C37" s="36">
        <f>IF(C35&lt;30000,0,IF(C35&lt;40000,0.01,IF(C35&lt;80000,0.03,IF(C35&lt;140000,0.04,IF(C35&lt;200000,0.05,IF(C35&lt;260000,0.06,IF(C35&lt;320000,0.065,IF(C35&lt;400000,0.07,0.08))))))))</f>
        <v>0.03</v>
      </c>
      <c r="D37" s="36">
        <f t="shared" ref="D37:H37" si="4">IF(D35&lt;30000,0,IF(D35&lt;40000,0.01,IF(D35&lt;80000,0.03,IF(D35&lt;140000,0.04,IF(D35&lt;200000,0.05,IF(D35&lt;260000,0.06,IF(D35&lt;320000,0.065,IF(D35&lt;400000,0.07,0.08))))))))</f>
        <v>0.03</v>
      </c>
      <c r="E37" s="36">
        <f t="shared" si="4"/>
        <v>0.03</v>
      </c>
      <c r="F37" s="36">
        <f t="shared" si="4"/>
        <v>0.03</v>
      </c>
      <c r="G37" s="36">
        <f t="shared" si="4"/>
        <v>0.04</v>
      </c>
      <c r="H37" s="36">
        <f t="shared" si="4"/>
        <v>0.05</v>
      </c>
    </row>
    <row r="38" spans="1:8">
      <c r="A38" s="11" t="s">
        <v>177</v>
      </c>
      <c r="B38" s="30">
        <f>B35*B37</f>
        <v>343.25</v>
      </c>
      <c r="C38" s="30">
        <f t="shared" ref="C38:H38" si="5">C35*C37</f>
        <v>1292.0999999999999</v>
      </c>
      <c r="D38" s="30">
        <f t="shared" si="5"/>
        <v>1554.45</v>
      </c>
      <c r="E38" s="30">
        <f t="shared" si="5"/>
        <v>1816.8</v>
      </c>
      <c r="F38" s="30">
        <f t="shared" si="5"/>
        <v>2341.5</v>
      </c>
      <c r="G38" s="30">
        <f t="shared" si="5"/>
        <v>4875.8</v>
      </c>
      <c r="H38" s="30">
        <f t="shared" si="5"/>
        <v>8293.5</v>
      </c>
    </row>
    <row r="39" spans="1:8">
      <c r="A39" s="11" t="s">
        <v>58</v>
      </c>
      <c r="B39" s="30">
        <f t="shared" ref="B39:H39" si="6">IF(B35&lt;30000,0,IF(B35&lt;40000,300,IF(B35&lt;80000,1100,IF(B35&lt;140000,1900,IF(B35&lt;200000,3300,IF(B35&lt;260000,5300,IF(B35&lt;320000,6600,IF(B35&lt;400000,8200,12200))))))))</f>
        <v>300</v>
      </c>
      <c r="C39" s="30">
        <f t="shared" si="6"/>
        <v>1100</v>
      </c>
      <c r="D39" s="30">
        <f t="shared" si="6"/>
        <v>1100</v>
      </c>
      <c r="E39" s="30">
        <f t="shared" si="6"/>
        <v>1100</v>
      </c>
      <c r="F39" s="30">
        <f t="shared" si="6"/>
        <v>1100</v>
      </c>
      <c r="G39" s="30">
        <f t="shared" si="6"/>
        <v>1900</v>
      </c>
      <c r="H39" s="30">
        <f t="shared" si="6"/>
        <v>3300</v>
      </c>
    </row>
    <row r="40" spans="1:8">
      <c r="B40" s="30"/>
      <c r="C40" s="30"/>
      <c r="D40" s="30"/>
      <c r="E40" s="30"/>
      <c r="F40" s="30"/>
      <c r="G40" s="30"/>
      <c r="H40" s="30"/>
    </row>
    <row r="41" spans="1:8">
      <c r="A41" s="11" t="s">
        <v>117</v>
      </c>
      <c r="B41" s="30">
        <f>B38-B39</f>
        <v>43.25</v>
      </c>
      <c r="C41" s="30">
        <f t="shared" ref="C41:H41" si="7">C38-C39</f>
        <v>192.09999999999991</v>
      </c>
      <c r="D41" s="30">
        <f t="shared" si="7"/>
        <v>454.45000000000005</v>
      </c>
      <c r="E41" s="30">
        <f t="shared" si="7"/>
        <v>716.8</v>
      </c>
      <c r="F41" s="30">
        <f t="shared" si="7"/>
        <v>1241.5</v>
      </c>
      <c r="G41" s="30">
        <f t="shared" si="7"/>
        <v>2975.8</v>
      </c>
      <c r="H41" s="30">
        <f t="shared" si="7"/>
        <v>4993.5</v>
      </c>
    </row>
    <row r="42" spans="1:8">
      <c r="A42" s="11" t="s">
        <v>121</v>
      </c>
      <c r="B42" s="30">
        <f>B41*1.6</f>
        <v>69.2</v>
      </c>
      <c r="C42" s="30">
        <f t="shared" ref="C42:H42" si="8">C41*1.6</f>
        <v>307.3599999999999</v>
      </c>
      <c r="D42" s="30">
        <f t="shared" si="8"/>
        <v>727.12000000000012</v>
      </c>
      <c r="E42" s="30">
        <f t="shared" si="8"/>
        <v>1146.8799999999999</v>
      </c>
      <c r="F42" s="30">
        <f t="shared" si="8"/>
        <v>1986.4</v>
      </c>
      <c r="G42" s="30">
        <f t="shared" si="8"/>
        <v>4761.2800000000007</v>
      </c>
      <c r="H42" s="30">
        <f t="shared" si="8"/>
        <v>7989.6</v>
      </c>
    </row>
    <row r="43" spans="1:8">
      <c r="A43" s="11" t="s">
        <v>114</v>
      </c>
      <c r="B43" s="30">
        <f>B41+B42</f>
        <v>112.45</v>
      </c>
      <c r="C43" s="30">
        <f t="shared" ref="C43:H43" si="9">C41+C42</f>
        <v>499.45999999999981</v>
      </c>
      <c r="D43" s="30">
        <f t="shared" si="9"/>
        <v>1181.5700000000002</v>
      </c>
      <c r="E43" s="30">
        <f t="shared" si="9"/>
        <v>1863.6799999999998</v>
      </c>
      <c r="F43" s="30">
        <f t="shared" si="9"/>
        <v>3227.9</v>
      </c>
      <c r="G43" s="30">
        <f t="shared" si="9"/>
        <v>7737.0800000000008</v>
      </c>
      <c r="H43" s="30">
        <f t="shared" si="9"/>
        <v>12983.1</v>
      </c>
    </row>
    <row r="45" spans="1:8">
      <c r="A45" s="12" t="s">
        <v>306</v>
      </c>
    </row>
    <row r="46" spans="1:8">
      <c r="A46" s="21" t="s">
        <v>233</v>
      </c>
      <c r="B46" s="21"/>
      <c r="C46" s="21"/>
      <c r="D46" s="21"/>
      <c r="E46" s="21"/>
      <c r="F46" s="21"/>
      <c r="G46" s="21"/>
      <c r="H46" s="21"/>
    </row>
    <row r="47" spans="1:8">
      <c r="A47" s="21" t="s">
        <v>86</v>
      </c>
      <c r="B47" s="21"/>
      <c r="C47" s="21"/>
      <c r="D47" s="21"/>
      <c r="E47" s="21"/>
      <c r="F47" s="21"/>
      <c r="G47" s="21"/>
      <c r="H47" s="21"/>
    </row>
    <row r="48" spans="1:8" ht="26.25" customHeight="1">
      <c r="A48" s="21" t="s">
        <v>211</v>
      </c>
      <c r="B48" s="21"/>
      <c r="C48" s="21"/>
      <c r="D48" s="21"/>
      <c r="E48" s="21"/>
      <c r="F48" s="21"/>
      <c r="G48" s="21"/>
      <c r="H48" s="21"/>
    </row>
    <row r="49" spans="1:8" ht="25.5" customHeight="1">
      <c r="A49" s="21" t="s">
        <v>212</v>
      </c>
      <c r="B49" s="21"/>
      <c r="C49" s="21"/>
      <c r="D49" s="21"/>
      <c r="E49" s="21"/>
      <c r="F49" s="21"/>
      <c r="G49" s="21"/>
      <c r="H49" s="21"/>
    </row>
    <row r="51" spans="1:8">
      <c r="A51" s="12" t="s">
        <v>143</v>
      </c>
    </row>
    <row r="52" spans="1:8">
      <c r="A52" s="11" t="s">
        <v>153</v>
      </c>
    </row>
  </sheetData>
  <mergeCells count="4">
    <mergeCell ref="A46:H46"/>
    <mergeCell ref="A47:H47"/>
    <mergeCell ref="A48:H48"/>
    <mergeCell ref="A49:H49"/>
  </mergeCells>
  <hyperlinks>
    <hyperlink ref="A4" location="Inhalt!A1" display="&lt;&lt;&lt; Inhalt" xr:uid="{89EB4968-3324-4DC4-9337-356D331A2CBB}"/>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52"/>
  <sheetViews>
    <sheetView zoomScaleNormal="100" workbookViewId="0">
      <selection activeCell="A4" sqref="A4"/>
    </sheetView>
  </sheetViews>
  <sheetFormatPr baseColWidth="10" defaultRowHeight="12.75"/>
  <cols>
    <col min="1" max="1" width="28.28515625" style="11" customWidth="1"/>
    <col min="2" max="8" width="7.85546875" style="3" customWidth="1"/>
    <col min="9" max="9" width="29.28515625" style="3" customWidth="1"/>
    <col min="10" max="16384" width="11.42578125" style="3"/>
  </cols>
  <sheetData>
    <row r="1" spans="1:8" s="23" customFormat="1" ht="15.75">
      <c r="A1" s="29" t="s">
        <v>258</v>
      </c>
    </row>
    <row r="2" spans="1:8">
      <c r="A2" s="11" t="s">
        <v>483</v>
      </c>
    </row>
    <row r="4" spans="1:8">
      <c r="A4" s="40" t="s">
        <v>551</v>
      </c>
    </row>
    <row r="6" spans="1:8">
      <c r="A6" s="11" t="s">
        <v>539</v>
      </c>
    </row>
    <row r="9" spans="1:8">
      <c r="A9" s="35" t="s">
        <v>175</v>
      </c>
      <c r="B9" s="37">
        <v>50000</v>
      </c>
      <c r="C9" s="37">
        <v>60000</v>
      </c>
      <c r="D9" s="37">
        <v>70000</v>
      </c>
      <c r="E9" s="37">
        <v>80000</v>
      </c>
      <c r="F9" s="37">
        <v>100000</v>
      </c>
      <c r="G9" s="37">
        <v>150000</v>
      </c>
      <c r="H9" s="37">
        <v>200000</v>
      </c>
    </row>
    <row r="11" spans="1:8">
      <c r="A11" s="11" t="s">
        <v>107</v>
      </c>
      <c r="B11" s="30">
        <v>0</v>
      </c>
      <c r="C11" s="30">
        <v>0</v>
      </c>
      <c r="D11" s="30">
        <v>0</v>
      </c>
      <c r="E11" s="30">
        <f>E43</f>
        <v>45.760000000000062</v>
      </c>
      <c r="F11" s="30">
        <f t="shared" ref="F11:G11" si="0">F43</f>
        <v>981.5</v>
      </c>
      <c r="G11" s="30">
        <f t="shared" si="0"/>
        <v>4741.880000000001</v>
      </c>
      <c r="H11" s="30">
        <f>H43</f>
        <v>9315.2800000000007</v>
      </c>
    </row>
    <row r="12" spans="1:8">
      <c r="A12" s="11" t="s">
        <v>108</v>
      </c>
      <c r="B12" s="36">
        <v>0</v>
      </c>
      <c r="C12" s="36">
        <v>0</v>
      </c>
      <c r="D12" s="36">
        <v>0</v>
      </c>
      <c r="E12" s="36">
        <f>E11/E9</f>
        <v>5.7200000000000078E-4</v>
      </c>
      <c r="F12" s="36">
        <f t="shared" ref="F12:H12" si="1">F11/F9</f>
        <v>9.8150000000000008E-3</v>
      </c>
      <c r="G12" s="36">
        <f t="shared" si="1"/>
        <v>3.1612533333333338E-2</v>
      </c>
      <c r="H12" s="36">
        <f t="shared" si="1"/>
        <v>4.6576400000000004E-2</v>
      </c>
    </row>
    <row r="17" spans="1:8" s="23" customFormat="1" ht="15.75">
      <c r="A17" s="29" t="s">
        <v>259</v>
      </c>
    </row>
    <row r="18" spans="1:8">
      <c r="A18" s="11" t="s">
        <v>484</v>
      </c>
    </row>
    <row r="20" spans="1:8">
      <c r="A20" s="11" t="s">
        <v>540</v>
      </c>
    </row>
    <row r="23" spans="1:8">
      <c r="A23" s="35" t="s">
        <v>116</v>
      </c>
      <c r="B23" s="37">
        <v>50000</v>
      </c>
      <c r="C23" s="37">
        <v>60000</v>
      </c>
      <c r="D23" s="37">
        <v>70000</v>
      </c>
      <c r="E23" s="37">
        <v>80000</v>
      </c>
      <c r="F23" s="37">
        <v>100000</v>
      </c>
      <c r="G23" s="37">
        <v>150000</v>
      </c>
      <c r="H23" s="37">
        <v>200000</v>
      </c>
    </row>
    <row r="25" spans="1:8">
      <c r="A25" s="11" t="s">
        <v>109</v>
      </c>
    </row>
    <row r="26" spans="1:8">
      <c r="A26" s="11" t="s">
        <v>287</v>
      </c>
      <c r="B26" s="30">
        <v>3275</v>
      </c>
      <c r="C26" s="30">
        <v>3930</v>
      </c>
      <c r="D26" s="30">
        <v>4585</v>
      </c>
      <c r="E26" s="30">
        <v>5240</v>
      </c>
      <c r="F26" s="30">
        <v>6550</v>
      </c>
      <c r="G26" s="30">
        <v>9705</v>
      </c>
      <c r="H26" s="30">
        <v>12730</v>
      </c>
    </row>
    <row r="27" spans="1:8">
      <c r="A27" s="11" t="s">
        <v>118</v>
      </c>
      <c r="B27" s="30">
        <v>3000</v>
      </c>
      <c r="C27" s="30">
        <v>3600</v>
      </c>
      <c r="D27" s="30">
        <v>4200</v>
      </c>
      <c r="E27" s="30">
        <v>4800</v>
      </c>
      <c r="F27" s="30">
        <v>6000</v>
      </c>
      <c r="G27" s="30">
        <v>9000</v>
      </c>
      <c r="H27" s="30">
        <v>12000</v>
      </c>
    </row>
    <row r="28" spans="1:8">
      <c r="A28" s="11" t="s">
        <v>70</v>
      </c>
      <c r="B28" s="30">
        <v>11200</v>
      </c>
      <c r="C28" s="30">
        <v>11200</v>
      </c>
      <c r="D28" s="30">
        <v>11200</v>
      </c>
      <c r="E28" s="30">
        <v>11200</v>
      </c>
      <c r="F28" s="30">
        <v>11200</v>
      </c>
      <c r="G28" s="30">
        <v>11200</v>
      </c>
      <c r="H28" s="30">
        <v>11200</v>
      </c>
    </row>
    <row r="29" spans="1:8">
      <c r="A29" s="11" t="s">
        <v>178</v>
      </c>
      <c r="B29" s="30">
        <v>24000</v>
      </c>
      <c r="C29" s="30">
        <v>24000</v>
      </c>
      <c r="D29" s="30">
        <v>24000</v>
      </c>
      <c r="E29" s="30">
        <v>24000</v>
      </c>
      <c r="F29" s="30">
        <v>24000</v>
      </c>
      <c r="G29" s="30">
        <v>24000</v>
      </c>
      <c r="H29" s="30">
        <v>24000</v>
      </c>
    </row>
    <row r="30" spans="1:8">
      <c r="A30" s="11" t="s">
        <v>110</v>
      </c>
      <c r="B30" s="30">
        <v>1200</v>
      </c>
      <c r="C30" s="30">
        <v>1200</v>
      </c>
      <c r="D30" s="30">
        <v>1200</v>
      </c>
      <c r="E30" s="30">
        <v>1200</v>
      </c>
      <c r="F30" s="30">
        <v>1200</v>
      </c>
      <c r="G30" s="30">
        <v>1200</v>
      </c>
      <c r="H30" s="30">
        <v>1200</v>
      </c>
    </row>
    <row r="31" spans="1:8">
      <c r="A31" s="11" t="s">
        <v>112</v>
      </c>
      <c r="B31" s="30">
        <v>1500</v>
      </c>
      <c r="C31" s="30">
        <v>1500</v>
      </c>
      <c r="D31" s="30">
        <v>1500</v>
      </c>
      <c r="E31" s="30">
        <v>1500</v>
      </c>
      <c r="F31" s="30">
        <v>1500</v>
      </c>
      <c r="G31" s="30">
        <v>1500</v>
      </c>
      <c r="H31" s="30">
        <v>1500</v>
      </c>
    </row>
    <row r="32" spans="1:8">
      <c r="A32" s="11" t="s">
        <v>113</v>
      </c>
      <c r="B32" s="30">
        <v>300</v>
      </c>
      <c r="C32" s="30">
        <v>300</v>
      </c>
      <c r="D32" s="30">
        <v>300</v>
      </c>
      <c r="E32" s="30">
        <v>300</v>
      </c>
      <c r="F32" s="30">
        <v>300</v>
      </c>
      <c r="G32" s="30">
        <v>300</v>
      </c>
      <c r="H32" s="30">
        <v>300</v>
      </c>
    </row>
    <row r="33" spans="1:8">
      <c r="A33" s="11" t="s">
        <v>115</v>
      </c>
      <c r="B33" s="30">
        <f>SUM(B26:B32)</f>
        <v>44475</v>
      </c>
      <c r="C33" s="30">
        <f t="shared" ref="C33:G33" si="2">SUM(C26:C32)</f>
        <v>45730</v>
      </c>
      <c r="D33" s="30">
        <f t="shared" si="2"/>
        <v>46985</v>
      </c>
      <c r="E33" s="30">
        <f t="shared" si="2"/>
        <v>48240</v>
      </c>
      <c r="F33" s="30">
        <f t="shared" si="2"/>
        <v>50750</v>
      </c>
      <c r="G33" s="30">
        <f t="shared" si="2"/>
        <v>56905</v>
      </c>
      <c r="H33" s="30">
        <f>SUM(H26:H32)</f>
        <v>62930</v>
      </c>
    </row>
    <row r="34" spans="1:8">
      <c r="B34" s="30"/>
      <c r="C34" s="30"/>
      <c r="D34" s="30"/>
      <c r="E34" s="30"/>
      <c r="F34" s="30"/>
      <c r="G34" s="30"/>
      <c r="H34" s="30"/>
    </row>
    <row r="35" spans="1:8">
      <c r="A35" s="11" t="s">
        <v>288</v>
      </c>
      <c r="B35" s="30">
        <f>B23-B33</f>
        <v>5525</v>
      </c>
      <c r="C35" s="30">
        <f t="shared" ref="C35:G35" si="3">C23-C33</f>
        <v>14270</v>
      </c>
      <c r="D35" s="30">
        <f t="shared" si="3"/>
        <v>23015</v>
      </c>
      <c r="E35" s="30">
        <f t="shared" si="3"/>
        <v>31760</v>
      </c>
      <c r="F35" s="30">
        <f t="shared" si="3"/>
        <v>49250</v>
      </c>
      <c r="G35" s="30">
        <f t="shared" si="3"/>
        <v>93095</v>
      </c>
      <c r="H35" s="30">
        <f>H23-H33</f>
        <v>137070</v>
      </c>
    </row>
    <row r="37" spans="1:8">
      <c r="A37" s="11" t="s">
        <v>176</v>
      </c>
      <c r="B37" s="36">
        <f>IF(B35&lt;30000,0,IF(B35&lt;40000,0.01,IF(B35&lt;80000,0.03,IF(B35&lt;140000,0.04,IF(B35&lt;200000,0.05,IF(B35&lt;260000,0.06,IF(B35&lt;320000,0.065,IF(B35&lt;400000,0.07,0.08))))))))</f>
        <v>0</v>
      </c>
      <c r="C37" s="36">
        <f t="shared" ref="C37:H37" si="4">IF(C35&lt;30000,0,IF(C35&lt;40000,0.01,IF(C35&lt;80000,0.03,IF(C35&lt;140000,0.04,IF(C35&lt;200000,0.05,IF(C35&lt;260000,0.06,IF(C35&lt;320000,0.065,IF(C35&lt;400000,0.07,0.08))))))))</f>
        <v>0</v>
      </c>
      <c r="D37" s="36">
        <f t="shared" si="4"/>
        <v>0</v>
      </c>
      <c r="E37" s="36">
        <f t="shared" si="4"/>
        <v>0.01</v>
      </c>
      <c r="F37" s="36">
        <f t="shared" si="4"/>
        <v>0.03</v>
      </c>
      <c r="G37" s="36">
        <f t="shared" si="4"/>
        <v>0.04</v>
      </c>
      <c r="H37" s="36">
        <f t="shared" si="4"/>
        <v>0.04</v>
      </c>
    </row>
    <row r="38" spans="1:8">
      <c r="A38" s="11" t="s">
        <v>177</v>
      </c>
      <c r="B38" s="30">
        <v>0</v>
      </c>
      <c r="C38" s="30">
        <v>0</v>
      </c>
      <c r="D38" s="30">
        <v>0</v>
      </c>
      <c r="E38" s="30">
        <f>E35*E37</f>
        <v>317.60000000000002</v>
      </c>
      <c r="F38" s="30">
        <f t="shared" ref="F38:G38" si="5">F35*F37</f>
        <v>1477.5</v>
      </c>
      <c r="G38" s="30">
        <f t="shared" si="5"/>
        <v>3723.8</v>
      </c>
      <c r="H38" s="30">
        <f>H35*H37</f>
        <v>5482.8</v>
      </c>
    </row>
    <row r="39" spans="1:8">
      <c r="A39" s="11" t="s">
        <v>58</v>
      </c>
      <c r="B39" s="30">
        <f>IF(B35&lt;30000,0,IF(B35&lt;40000,300,IF(B35&lt;80000,1100,IF(B35&lt;140000,1900,IF(B35&lt;200000,3300,IF(B35&lt;260000,5300,IF(B35&lt;320000,6600,IF(B35&lt;400000,8200,12200))))))))</f>
        <v>0</v>
      </c>
      <c r="C39" s="30">
        <f t="shared" ref="C39:H39" si="6">IF(C35&lt;30000,0,IF(C35&lt;40000,300,IF(C35&lt;80000,1100,IF(C35&lt;140000,1900,IF(C35&lt;200000,3300,IF(C35&lt;260000,5300,IF(C35&lt;320000,6600,IF(C35&lt;400000,8200,12200))))))))</f>
        <v>0</v>
      </c>
      <c r="D39" s="30">
        <f t="shared" si="6"/>
        <v>0</v>
      </c>
      <c r="E39" s="30">
        <f t="shared" si="6"/>
        <v>300</v>
      </c>
      <c r="F39" s="30">
        <f t="shared" si="6"/>
        <v>1100</v>
      </c>
      <c r="G39" s="30">
        <f t="shared" si="6"/>
        <v>1900</v>
      </c>
      <c r="H39" s="30">
        <f t="shared" si="6"/>
        <v>1900</v>
      </c>
    </row>
    <row r="40" spans="1:8">
      <c r="B40" s="30"/>
      <c r="C40" s="30"/>
      <c r="D40" s="30"/>
      <c r="E40" s="30"/>
      <c r="F40" s="30"/>
      <c r="G40" s="30"/>
      <c r="H40" s="30"/>
    </row>
    <row r="41" spans="1:8">
      <c r="A41" s="11" t="s">
        <v>117</v>
      </c>
      <c r="B41" s="30">
        <v>0</v>
      </c>
      <c r="C41" s="30">
        <v>0</v>
      </c>
      <c r="D41" s="30">
        <v>0</v>
      </c>
      <c r="E41" s="30">
        <f>E38-E39</f>
        <v>17.600000000000023</v>
      </c>
      <c r="F41" s="30">
        <f t="shared" ref="F41:H41" si="7">F38-F39</f>
        <v>377.5</v>
      </c>
      <c r="G41" s="30">
        <f t="shared" si="7"/>
        <v>1823.8000000000002</v>
      </c>
      <c r="H41" s="30">
        <f t="shared" si="7"/>
        <v>3582.8</v>
      </c>
    </row>
    <row r="42" spans="1:8">
      <c r="A42" s="11" t="s">
        <v>121</v>
      </c>
      <c r="B42" s="30">
        <v>0</v>
      </c>
      <c r="C42" s="30">
        <v>0</v>
      </c>
      <c r="D42" s="30">
        <v>0</v>
      </c>
      <c r="E42" s="30">
        <f>E41*1.6</f>
        <v>28.160000000000039</v>
      </c>
      <c r="F42" s="30">
        <f t="shared" ref="F42:H42" si="8">F41*1.6</f>
        <v>604</v>
      </c>
      <c r="G42" s="30">
        <f t="shared" si="8"/>
        <v>2918.0800000000004</v>
      </c>
      <c r="H42" s="30">
        <f t="shared" si="8"/>
        <v>5732.4800000000005</v>
      </c>
    </row>
    <row r="43" spans="1:8">
      <c r="A43" s="11" t="s">
        <v>114</v>
      </c>
      <c r="B43" s="30">
        <v>0</v>
      </c>
      <c r="C43" s="30">
        <v>0</v>
      </c>
      <c r="D43" s="30">
        <v>0</v>
      </c>
      <c r="E43" s="30">
        <f>E41+E42</f>
        <v>45.760000000000062</v>
      </c>
      <c r="F43" s="30">
        <f t="shared" ref="F43:H43" si="9">F41+F42</f>
        <v>981.5</v>
      </c>
      <c r="G43" s="30">
        <f t="shared" si="9"/>
        <v>4741.880000000001</v>
      </c>
      <c r="H43" s="30">
        <f t="shared" si="9"/>
        <v>9315.2800000000007</v>
      </c>
    </row>
    <row r="45" spans="1:8">
      <c r="A45" s="12" t="s">
        <v>306</v>
      </c>
    </row>
    <row r="46" spans="1:8">
      <c r="A46" s="21" t="s">
        <v>232</v>
      </c>
      <c r="B46" s="21"/>
      <c r="C46" s="21"/>
      <c r="D46" s="21"/>
      <c r="E46" s="21"/>
      <c r="F46" s="21"/>
      <c r="G46" s="21"/>
      <c r="H46" s="21"/>
    </row>
    <row r="47" spans="1:8">
      <c r="A47" s="21" t="s">
        <v>86</v>
      </c>
      <c r="B47" s="21"/>
      <c r="C47" s="21"/>
      <c r="D47" s="21"/>
      <c r="E47" s="21"/>
      <c r="F47" s="21"/>
      <c r="G47" s="21"/>
      <c r="H47" s="21"/>
    </row>
    <row r="48" spans="1:8" ht="25.5" customHeight="1">
      <c r="A48" s="21" t="s">
        <v>211</v>
      </c>
      <c r="B48" s="21"/>
      <c r="C48" s="21"/>
      <c r="D48" s="21"/>
      <c r="E48" s="21"/>
      <c r="F48" s="21"/>
      <c r="G48" s="21"/>
      <c r="H48" s="21"/>
    </row>
    <row r="49" spans="1:8" ht="27.75" customHeight="1">
      <c r="A49" s="21" t="s">
        <v>212</v>
      </c>
      <c r="B49" s="21"/>
      <c r="C49" s="21"/>
      <c r="D49" s="21"/>
      <c r="E49" s="21"/>
      <c r="F49" s="21"/>
      <c r="G49" s="21"/>
      <c r="H49" s="21"/>
    </row>
    <row r="51" spans="1:8">
      <c r="A51" s="12" t="s">
        <v>143</v>
      </c>
    </row>
    <row r="52" spans="1:8">
      <c r="A52" s="11" t="s">
        <v>153</v>
      </c>
    </row>
  </sheetData>
  <mergeCells count="4">
    <mergeCell ref="A46:H46"/>
    <mergeCell ref="A47:H47"/>
    <mergeCell ref="A48:H48"/>
    <mergeCell ref="A49:H49"/>
  </mergeCells>
  <hyperlinks>
    <hyperlink ref="A4" location="Inhalt!A1" display="&lt;&lt;&lt; Inhalt" xr:uid="{56ED24D1-119C-4C18-B97B-6A2D24E041C3}"/>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52"/>
  <sheetViews>
    <sheetView zoomScaleNormal="100" workbookViewId="0">
      <selection activeCell="A4" sqref="A4"/>
    </sheetView>
  </sheetViews>
  <sheetFormatPr baseColWidth="10" defaultRowHeight="12.75"/>
  <cols>
    <col min="1" max="1" width="28.28515625" style="11" customWidth="1"/>
    <col min="2" max="8" width="7.85546875" style="3" customWidth="1"/>
    <col min="9" max="16384" width="11.42578125" style="3"/>
  </cols>
  <sheetData>
    <row r="1" spans="1:8" s="23" customFormat="1" ht="15.75">
      <c r="A1" s="29" t="s">
        <v>261</v>
      </c>
    </row>
    <row r="2" spans="1:8">
      <c r="A2" s="11" t="s">
        <v>483</v>
      </c>
    </row>
    <row r="4" spans="1:8">
      <c r="A4" s="40" t="s">
        <v>551</v>
      </c>
    </row>
    <row r="6" spans="1:8">
      <c r="A6" s="11" t="s">
        <v>544</v>
      </c>
    </row>
    <row r="8" spans="1:8">
      <c r="B8" s="30"/>
      <c r="C8" s="30"/>
      <c r="D8" s="30"/>
      <c r="E8" s="30"/>
      <c r="F8" s="30"/>
      <c r="G8" s="30"/>
      <c r="H8" s="30"/>
    </row>
    <row r="9" spans="1:8">
      <c r="A9" s="35" t="s">
        <v>175</v>
      </c>
      <c r="B9" s="32">
        <v>50000</v>
      </c>
      <c r="C9" s="32">
        <v>60000</v>
      </c>
      <c r="D9" s="32">
        <v>70000</v>
      </c>
      <c r="E9" s="32">
        <v>80000</v>
      </c>
      <c r="F9" s="32">
        <v>100000</v>
      </c>
      <c r="G9" s="32">
        <v>150000</v>
      </c>
      <c r="H9" s="32">
        <v>200000</v>
      </c>
    </row>
    <row r="11" spans="1:8">
      <c r="A11" s="11" t="s">
        <v>107</v>
      </c>
      <c r="B11" s="30">
        <f>B43</f>
        <v>0</v>
      </c>
      <c r="C11" s="30">
        <f>C43</f>
        <v>0</v>
      </c>
      <c r="D11" s="30">
        <f>D43</f>
        <v>112.18999999999994</v>
      </c>
      <c r="E11" s="30">
        <f>E43</f>
        <v>628.67999999999984</v>
      </c>
      <c r="F11" s="30">
        <f t="shared" ref="F11:H11" si="0">F43</f>
        <v>1992.9</v>
      </c>
      <c r="G11" s="30">
        <f t="shared" si="0"/>
        <v>6372.0800000000008</v>
      </c>
      <c r="H11" s="30">
        <f t="shared" si="0"/>
        <v>11878.1</v>
      </c>
    </row>
    <row r="12" spans="1:8">
      <c r="A12" s="11" t="s">
        <v>108</v>
      </c>
      <c r="B12" s="36">
        <f>B11/B9</f>
        <v>0</v>
      </c>
      <c r="C12" s="36">
        <f t="shared" ref="C12:H12" si="1">C11/C9</f>
        <v>0</v>
      </c>
      <c r="D12" s="36">
        <f t="shared" si="1"/>
        <v>1.6027142857142848E-3</v>
      </c>
      <c r="E12" s="36">
        <f t="shared" si="1"/>
        <v>7.8584999999999974E-3</v>
      </c>
      <c r="F12" s="36">
        <f t="shared" si="1"/>
        <v>1.9929000000000002E-2</v>
      </c>
      <c r="G12" s="36">
        <f t="shared" si="1"/>
        <v>4.2480533333333341E-2</v>
      </c>
      <c r="H12" s="36">
        <f t="shared" si="1"/>
        <v>5.9390499999999999E-2</v>
      </c>
    </row>
    <row r="17" spans="1:8" s="23" customFormat="1" ht="15.75">
      <c r="A17" s="29" t="s">
        <v>260</v>
      </c>
    </row>
    <row r="18" spans="1:8">
      <c r="A18" s="11" t="s">
        <v>484</v>
      </c>
    </row>
    <row r="20" spans="1:8">
      <c r="A20" s="11" t="s">
        <v>545</v>
      </c>
    </row>
    <row r="23" spans="1:8">
      <c r="A23" s="35" t="s">
        <v>116</v>
      </c>
      <c r="B23" s="32">
        <v>50000</v>
      </c>
      <c r="C23" s="32">
        <v>60000</v>
      </c>
      <c r="D23" s="32">
        <v>70000</v>
      </c>
      <c r="E23" s="32">
        <v>80000</v>
      </c>
      <c r="F23" s="32">
        <v>100000</v>
      </c>
      <c r="G23" s="32">
        <v>150000</v>
      </c>
      <c r="H23" s="32">
        <v>200000</v>
      </c>
    </row>
    <row r="24" spans="1:8">
      <c r="B24" s="30"/>
      <c r="C24" s="30"/>
      <c r="D24" s="30"/>
      <c r="E24" s="30"/>
      <c r="F24" s="30"/>
      <c r="G24" s="30"/>
      <c r="H24" s="30"/>
    </row>
    <row r="25" spans="1:8">
      <c r="A25" s="11" t="s">
        <v>109</v>
      </c>
      <c r="B25" s="30"/>
      <c r="C25" s="30"/>
      <c r="D25" s="30"/>
      <c r="E25" s="30"/>
      <c r="F25" s="30"/>
      <c r="G25" s="30"/>
      <c r="H25" s="30"/>
    </row>
    <row r="26" spans="1:8">
      <c r="A26" s="11" t="s">
        <v>287</v>
      </c>
      <c r="B26" s="30">
        <v>3275</v>
      </c>
      <c r="C26" s="30">
        <v>3930</v>
      </c>
      <c r="D26" s="30">
        <v>4585</v>
      </c>
      <c r="E26" s="30">
        <v>5240</v>
      </c>
      <c r="F26" s="30">
        <v>6550</v>
      </c>
      <c r="G26" s="30">
        <v>9705</v>
      </c>
      <c r="H26" s="30">
        <v>12730</v>
      </c>
    </row>
    <row r="27" spans="1:8">
      <c r="A27" s="11" t="s">
        <v>118</v>
      </c>
      <c r="B27" s="30">
        <v>3000</v>
      </c>
      <c r="C27" s="30">
        <v>3600</v>
      </c>
      <c r="D27" s="30">
        <v>4200</v>
      </c>
      <c r="E27" s="30">
        <v>4800</v>
      </c>
      <c r="F27" s="30">
        <v>6000</v>
      </c>
      <c r="G27" s="30">
        <v>9000</v>
      </c>
      <c r="H27" s="30">
        <v>12000</v>
      </c>
    </row>
    <row r="28" spans="1:8">
      <c r="A28" s="11" t="s">
        <v>70</v>
      </c>
      <c r="B28" s="30">
        <v>7700</v>
      </c>
      <c r="C28" s="30">
        <v>7700</v>
      </c>
      <c r="D28" s="30">
        <v>7700</v>
      </c>
      <c r="E28" s="30">
        <v>7700</v>
      </c>
      <c r="F28" s="30">
        <v>7700</v>
      </c>
      <c r="G28" s="30">
        <v>7700</v>
      </c>
      <c r="H28" s="30">
        <v>7700</v>
      </c>
    </row>
    <row r="29" spans="1:8">
      <c r="A29" s="11" t="s">
        <v>178</v>
      </c>
      <c r="B29" s="30">
        <v>24000</v>
      </c>
      <c r="C29" s="30">
        <v>24000</v>
      </c>
      <c r="D29" s="30">
        <v>24000</v>
      </c>
      <c r="E29" s="30">
        <v>24000</v>
      </c>
      <c r="F29" s="30">
        <v>24000</v>
      </c>
      <c r="G29" s="30">
        <v>24000</v>
      </c>
      <c r="H29" s="30">
        <v>24000</v>
      </c>
    </row>
    <row r="30" spans="1:8">
      <c r="A30" s="11" t="s">
        <v>110</v>
      </c>
      <c r="B30" s="30">
        <v>900</v>
      </c>
      <c r="C30" s="30">
        <v>900</v>
      </c>
      <c r="D30" s="30">
        <v>900</v>
      </c>
      <c r="E30" s="30">
        <v>900</v>
      </c>
      <c r="F30" s="30">
        <v>900</v>
      </c>
      <c r="G30" s="30">
        <v>900</v>
      </c>
      <c r="H30" s="30">
        <v>900</v>
      </c>
    </row>
    <row r="31" spans="1:8">
      <c r="A31" s="11" t="s">
        <v>112</v>
      </c>
      <c r="B31" s="30">
        <v>1500</v>
      </c>
      <c r="C31" s="30">
        <v>1500</v>
      </c>
      <c r="D31" s="30">
        <v>1500</v>
      </c>
      <c r="E31" s="30">
        <v>1500</v>
      </c>
      <c r="F31" s="30">
        <v>1500</v>
      </c>
      <c r="G31" s="30">
        <v>1500</v>
      </c>
      <c r="H31" s="30">
        <v>1500</v>
      </c>
    </row>
    <row r="32" spans="1:8">
      <c r="A32" s="11" t="s">
        <v>113</v>
      </c>
      <c r="B32" s="30">
        <v>300</v>
      </c>
      <c r="C32" s="30">
        <v>300</v>
      </c>
      <c r="D32" s="30">
        <v>300</v>
      </c>
      <c r="E32" s="30">
        <v>300</v>
      </c>
      <c r="F32" s="30">
        <v>300</v>
      </c>
      <c r="G32" s="30">
        <v>300</v>
      </c>
      <c r="H32" s="30">
        <v>300</v>
      </c>
    </row>
    <row r="33" spans="1:8">
      <c r="A33" s="11" t="s">
        <v>115</v>
      </c>
      <c r="B33" s="30">
        <f>SUM(B26:B32)</f>
        <v>40675</v>
      </c>
      <c r="C33" s="30">
        <f>SUM(C26:C32)</f>
        <v>41930</v>
      </c>
      <c r="D33" s="30">
        <f t="shared" ref="D33:H33" si="2">SUM(D26:D32)</f>
        <v>43185</v>
      </c>
      <c r="E33" s="30">
        <f t="shared" si="2"/>
        <v>44440</v>
      </c>
      <c r="F33" s="30">
        <f t="shared" si="2"/>
        <v>46950</v>
      </c>
      <c r="G33" s="30">
        <f t="shared" si="2"/>
        <v>53105</v>
      </c>
      <c r="H33" s="30">
        <f t="shared" si="2"/>
        <v>59130</v>
      </c>
    </row>
    <row r="34" spans="1:8">
      <c r="B34" s="30"/>
      <c r="C34" s="30"/>
      <c r="D34" s="30"/>
      <c r="E34" s="30"/>
      <c r="F34" s="30"/>
      <c r="G34" s="30"/>
      <c r="H34" s="30"/>
    </row>
    <row r="35" spans="1:8">
      <c r="A35" s="11" t="s">
        <v>288</v>
      </c>
      <c r="B35" s="30">
        <f>B23-B33</f>
        <v>9325</v>
      </c>
      <c r="C35" s="30">
        <f t="shared" ref="C35:H35" si="3">C23-C33</f>
        <v>18070</v>
      </c>
      <c r="D35" s="30">
        <f t="shared" si="3"/>
        <v>26815</v>
      </c>
      <c r="E35" s="30">
        <f t="shared" si="3"/>
        <v>35560</v>
      </c>
      <c r="F35" s="30">
        <f t="shared" si="3"/>
        <v>53050</v>
      </c>
      <c r="G35" s="30">
        <f t="shared" si="3"/>
        <v>96895</v>
      </c>
      <c r="H35" s="30">
        <f t="shared" si="3"/>
        <v>140870</v>
      </c>
    </row>
    <row r="37" spans="1:8">
      <c r="A37" s="11" t="s">
        <v>176</v>
      </c>
      <c r="B37" s="36">
        <f>IF(B35&lt;22500,0,IF(B35&lt;30000,0.01,IF(B35&lt;60000,0.03,IF(B35&lt;105000,0.04,IF(B35&lt;150000,0.05,IF(B35&lt;195000,0.06,IF(B35&lt;240000,0.065,IF(B35&lt;300000,0.07,0.08))))))))</f>
        <v>0</v>
      </c>
      <c r="C37" s="36">
        <f t="shared" ref="C37:H37" si="4">IF(C35&lt;22500,0,IF(C35&lt;30000,0.01,IF(C35&lt;60000,0.03,IF(C35&lt;105000,0.04,IF(C35&lt;150000,0.05,IF(C35&lt;195000,0.06,IF(C35&lt;240000,0.065,IF(C35&lt;300000,0.07,0.08))))))))</f>
        <v>0</v>
      </c>
      <c r="D37" s="36">
        <f t="shared" si="4"/>
        <v>0.01</v>
      </c>
      <c r="E37" s="36">
        <f t="shared" si="4"/>
        <v>0.03</v>
      </c>
      <c r="F37" s="36">
        <f t="shared" si="4"/>
        <v>0.03</v>
      </c>
      <c r="G37" s="36">
        <f t="shared" si="4"/>
        <v>0.04</v>
      </c>
      <c r="H37" s="36">
        <f t="shared" si="4"/>
        <v>0.05</v>
      </c>
    </row>
    <row r="38" spans="1:8">
      <c r="A38" s="11" t="s">
        <v>177</v>
      </c>
      <c r="B38" s="30">
        <v>0</v>
      </c>
      <c r="C38" s="30">
        <v>0</v>
      </c>
      <c r="D38" s="30">
        <f t="shared" ref="D38:H38" si="5">D35*D37</f>
        <v>268.14999999999998</v>
      </c>
      <c r="E38" s="30">
        <f t="shared" si="5"/>
        <v>1066.8</v>
      </c>
      <c r="F38" s="30">
        <f t="shared" si="5"/>
        <v>1591.5</v>
      </c>
      <c r="G38" s="30">
        <f t="shared" si="5"/>
        <v>3875.8</v>
      </c>
      <c r="H38" s="30">
        <f t="shared" si="5"/>
        <v>7043.5</v>
      </c>
    </row>
    <row r="39" spans="1:8">
      <c r="A39" s="11" t="s">
        <v>58</v>
      </c>
      <c r="B39" s="30">
        <f>IF(B35&lt;22500,0,IF(B35&lt;30000,225,IF(B35&lt;60000,825,IF(B35&lt;105000,1425,IF(B35&lt;150000,2475,IF(B35&lt;195000,3975,IF(B35&lt;240000,4950,IF(B35&lt;300000,6150,9150))))))))</f>
        <v>0</v>
      </c>
      <c r="C39" s="30">
        <f t="shared" ref="C39:H39" si="6">IF(C35&lt;22500,0,IF(C35&lt;30000,225,IF(C35&lt;60000,825,IF(C35&lt;105000,1425,IF(C35&lt;150000,2475,IF(C35&lt;195000,3975,IF(C35&lt;240000,4950,IF(C35&lt;300000,6150,9150))))))))</f>
        <v>0</v>
      </c>
      <c r="D39" s="30">
        <f t="shared" si="6"/>
        <v>225</v>
      </c>
      <c r="E39" s="30">
        <f t="shared" si="6"/>
        <v>825</v>
      </c>
      <c r="F39" s="30">
        <f t="shared" si="6"/>
        <v>825</v>
      </c>
      <c r="G39" s="30">
        <f t="shared" si="6"/>
        <v>1425</v>
      </c>
      <c r="H39" s="30">
        <f t="shared" si="6"/>
        <v>2475</v>
      </c>
    </row>
    <row r="40" spans="1:8">
      <c r="B40" s="30"/>
      <c r="C40" s="30"/>
      <c r="D40" s="30"/>
      <c r="E40" s="30"/>
      <c r="F40" s="30"/>
      <c r="G40" s="30"/>
      <c r="H40" s="30"/>
    </row>
    <row r="41" spans="1:8">
      <c r="A41" s="11" t="s">
        <v>117</v>
      </c>
      <c r="B41" s="30">
        <v>0</v>
      </c>
      <c r="C41" s="30">
        <v>0</v>
      </c>
      <c r="D41" s="30">
        <f t="shared" ref="D41:H41" si="7">D38-D39</f>
        <v>43.149999999999977</v>
      </c>
      <c r="E41" s="30">
        <f t="shared" si="7"/>
        <v>241.79999999999995</v>
      </c>
      <c r="F41" s="30">
        <f t="shared" si="7"/>
        <v>766.5</v>
      </c>
      <c r="G41" s="30">
        <f t="shared" si="7"/>
        <v>2450.8000000000002</v>
      </c>
      <c r="H41" s="30">
        <f t="shared" si="7"/>
        <v>4568.5</v>
      </c>
    </row>
    <row r="42" spans="1:8">
      <c r="A42" s="11" t="s">
        <v>121</v>
      </c>
      <c r="B42" s="30">
        <v>0</v>
      </c>
      <c r="C42" s="30">
        <v>0</v>
      </c>
      <c r="D42" s="30">
        <f t="shared" ref="D42:H42" si="8">D41*1.6</f>
        <v>69.039999999999964</v>
      </c>
      <c r="E42" s="30">
        <f t="shared" si="8"/>
        <v>386.87999999999994</v>
      </c>
      <c r="F42" s="30">
        <f t="shared" si="8"/>
        <v>1226.4000000000001</v>
      </c>
      <c r="G42" s="30">
        <f t="shared" si="8"/>
        <v>3921.2800000000007</v>
      </c>
      <c r="H42" s="30">
        <f t="shared" si="8"/>
        <v>7309.6</v>
      </c>
    </row>
    <row r="43" spans="1:8">
      <c r="A43" s="11" t="s">
        <v>114</v>
      </c>
      <c r="B43" s="30">
        <v>0</v>
      </c>
      <c r="C43" s="30">
        <v>0</v>
      </c>
      <c r="D43" s="30">
        <f t="shared" ref="D43:H43" si="9">D41+D42</f>
        <v>112.18999999999994</v>
      </c>
      <c r="E43" s="30">
        <f t="shared" si="9"/>
        <v>628.67999999999984</v>
      </c>
      <c r="F43" s="30">
        <f t="shared" si="9"/>
        <v>1992.9</v>
      </c>
      <c r="G43" s="30">
        <f t="shared" si="9"/>
        <v>6372.0800000000008</v>
      </c>
      <c r="H43" s="30">
        <f t="shared" si="9"/>
        <v>11878.1</v>
      </c>
    </row>
    <row r="45" spans="1:8">
      <c r="A45" s="12" t="s">
        <v>306</v>
      </c>
    </row>
    <row r="46" spans="1:8" ht="26.25" customHeight="1">
      <c r="A46" s="21" t="s">
        <v>234</v>
      </c>
      <c r="B46" s="21"/>
      <c r="C46" s="21"/>
      <c r="D46" s="21"/>
      <c r="E46" s="21"/>
      <c r="F46" s="21"/>
      <c r="G46" s="21"/>
      <c r="H46" s="21"/>
    </row>
    <row r="47" spans="1:8">
      <c r="A47" s="21" t="s">
        <v>86</v>
      </c>
      <c r="B47" s="21"/>
      <c r="C47" s="21"/>
      <c r="D47" s="21"/>
      <c r="E47" s="21"/>
      <c r="F47" s="21"/>
      <c r="G47" s="21"/>
      <c r="H47" s="21"/>
    </row>
    <row r="48" spans="1:8" ht="26.25" customHeight="1">
      <c r="A48" s="21" t="s">
        <v>211</v>
      </c>
      <c r="B48" s="21"/>
      <c r="C48" s="21"/>
      <c r="D48" s="21"/>
      <c r="E48" s="21"/>
      <c r="F48" s="21"/>
      <c r="G48" s="21"/>
      <c r="H48" s="21"/>
    </row>
    <row r="49" spans="1:8" ht="27" customHeight="1">
      <c r="A49" s="21" t="s">
        <v>212</v>
      </c>
      <c r="B49" s="21"/>
      <c r="C49" s="21"/>
      <c r="D49" s="21"/>
      <c r="E49" s="21"/>
      <c r="F49" s="21"/>
      <c r="G49" s="21"/>
      <c r="H49" s="21"/>
    </row>
    <row r="51" spans="1:8">
      <c r="A51" s="12" t="s">
        <v>143</v>
      </c>
    </row>
    <row r="52" spans="1:8">
      <c r="A52" s="11" t="s">
        <v>153</v>
      </c>
    </row>
  </sheetData>
  <mergeCells count="4">
    <mergeCell ref="A46:H46"/>
    <mergeCell ref="A47:H47"/>
    <mergeCell ref="A48:H48"/>
    <mergeCell ref="A49:H49"/>
  </mergeCells>
  <hyperlinks>
    <hyperlink ref="A4" location="Inhalt!A1" display="&lt;&lt;&lt; Inhalt" xr:uid="{F42D15F5-5D79-4223-A814-7E556C97C37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3" tint="0.79998168889431442"/>
  </sheetPr>
  <dimension ref="A1:A23"/>
  <sheetViews>
    <sheetView workbookViewId="0">
      <selection activeCell="A3" sqref="A3"/>
    </sheetView>
  </sheetViews>
  <sheetFormatPr baseColWidth="10" defaultRowHeight="12.75"/>
  <cols>
    <col min="1" max="16384" width="11.42578125" style="3"/>
  </cols>
  <sheetData>
    <row r="1" spans="1:1" s="4" customFormat="1"/>
    <row r="3" spans="1:1">
      <c r="A3" s="4" t="s">
        <v>444</v>
      </c>
    </row>
    <row r="23" s="23" customFormat="1" ht="15.75"/>
  </sheetData>
  <pageMargins left="0.7" right="0.7" top="0.78740157499999996" bottom="0.78740157499999996"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41"/>
  <sheetViews>
    <sheetView zoomScaleNormal="100" workbookViewId="0">
      <selection activeCell="A4" sqref="A4"/>
    </sheetView>
  </sheetViews>
  <sheetFormatPr baseColWidth="10" defaultRowHeight="12.75"/>
  <cols>
    <col min="1" max="1" width="25.42578125" style="3" customWidth="1"/>
    <col min="2" max="8" width="8.42578125" style="3" customWidth="1"/>
    <col min="9" max="16384" width="11.42578125" style="3"/>
  </cols>
  <sheetData>
    <row r="1" spans="1:8" s="23" customFormat="1" ht="15.75">
      <c r="A1" s="23" t="s">
        <v>358</v>
      </c>
    </row>
    <row r="2" spans="1:8">
      <c r="A2" s="3" t="s">
        <v>485</v>
      </c>
    </row>
    <row r="4" spans="1:8">
      <c r="A4" s="40" t="s">
        <v>551</v>
      </c>
    </row>
    <row r="6" spans="1:8">
      <c r="A6" s="3" t="s">
        <v>533</v>
      </c>
    </row>
    <row r="8" spans="1:8">
      <c r="A8" s="24" t="s">
        <v>120</v>
      </c>
      <c r="B8" s="39">
        <v>0.04</v>
      </c>
      <c r="C8" s="39">
        <v>0.08</v>
      </c>
      <c r="D8" s="39">
        <v>0.12</v>
      </c>
      <c r="E8" s="39">
        <v>0.16</v>
      </c>
      <c r="F8" s="39">
        <v>0.2</v>
      </c>
      <c r="G8" s="39">
        <v>0.3</v>
      </c>
      <c r="H8" s="39">
        <v>0.4</v>
      </c>
    </row>
    <row r="9" spans="1:8">
      <c r="A9" s="3" t="s">
        <v>179</v>
      </c>
      <c r="B9" s="30">
        <f>100000*B8</f>
        <v>4000</v>
      </c>
      <c r="C9" s="30">
        <f t="shared" ref="C9:H9" si="0">100000*C8</f>
        <v>8000</v>
      </c>
      <c r="D9" s="30">
        <f t="shared" si="0"/>
        <v>12000</v>
      </c>
      <c r="E9" s="30">
        <f t="shared" si="0"/>
        <v>16000</v>
      </c>
      <c r="F9" s="30">
        <f t="shared" si="0"/>
        <v>20000</v>
      </c>
      <c r="G9" s="30">
        <f t="shared" si="0"/>
        <v>30000</v>
      </c>
      <c r="H9" s="30">
        <f t="shared" si="0"/>
        <v>40000</v>
      </c>
    </row>
    <row r="10" spans="1:8">
      <c r="B10" s="30"/>
      <c r="C10" s="30"/>
      <c r="D10" s="30"/>
      <c r="E10" s="30"/>
      <c r="F10" s="30"/>
      <c r="G10" s="30"/>
      <c r="H10" s="30"/>
    </row>
    <row r="11" spans="1:8">
      <c r="A11" s="3" t="s">
        <v>107</v>
      </c>
      <c r="B11" s="30">
        <f t="shared" ref="B11:H11" si="1">B32</f>
        <v>90</v>
      </c>
      <c r="C11" s="30">
        <f t="shared" si="1"/>
        <v>590</v>
      </c>
      <c r="D11" s="30">
        <f t="shared" si="1"/>
        <v>1090</v>
      </c>
      <c r="E11" s="30">
        <f t="shared" si="1"/>
        <v>1590</v>
      </c>
      <c r="F11" s="30">
        <f t="shared" si="1"/>
        <v>2090</v>
      </c>
      <c r="G11" s="30">
        <f t="shared" si="1"/>
        <v>3340</v>
      </c>
      <c r="H11" s="30">
        <f t="shared" si="1"/>
        <v>4590</v>
      </c>
    </row>
    <row r="12" spans="1:8">
      <c r="A12" s="3" t="s">
        <v>108</v>
      </c>
      <c r="B12" s="36">
        <f>B11/B9</f>
        <v>2.2499999999999999E-2</v>
      </c>
      <c r="C12" s="36">
        <f t="shared" ref="C12:H12" si="2">C11/C9</f>
        <v>7.3749999999999996E-2</v>
      </c>
      <c r="D12" s="36">
        <f t="shared" si="2"/>
        <v>9.0833333333333335E-2</v>
      </c>
      <c r="E12" s="36">
        <f t="shared" si="2"/>
        <v>9.9375000000000005E-2</v>
      </c>
      <c r="F12" s="36">
        <f t="shared" si="2"/>
        <v>0.1045</v>
      </c>
      <c r="G12" s="36">
        <f t="shared" si="2"/>
        <v>0.11133333333333334</v>
      </c>
      <c r="H12" s="36">
        <f t="shared" si="2"/>
        <v>0.11475</v>
      </c>
    </row>
    <row r="17" spans="1:8" s="23" customFormat="1" ht="15.75">
      <c r="A17" s="23" t="s">
        <v>359</v>
      </c>
    </row>
    <row r="18" spans="1:8">
      <c r="A18" s="3" t="s">
        <v>482</v>
      </c>
    </row>
    <row r="20" spans="1:8">
      <c r="A20" s="3" t="s">
        <v>535</v>
      </c>
    </row>
    <row r="22" spans="1:8">
      <c r="A22" s="24" t="s">
        <v>120</v>
      </c>
      <c r="B22" s="39">
        <v>0.04</v>
      </c>
      <c r="C22" s="39">
        <v>0.08</v>
      </c>
      <c r="D22" s="39">
        <v>0.12</v>
      </c>
      <c r="E22" s="39">
        <v>0.16</v>
      </c>
      <c r="F22" s="39">
        <v>0.2</v>
      </c>
      <c r="G22" s="39">
        <v>0.3</v>
      </c>
      <c r="H22" s="39">
        <v>0.4</v>
      </c>
    </row>
    <row r="23" spans="1:8">
      <c r="A23" s="3" t="s">
        <v>179</v>
      </c>
      <c r="B23" s="30">
        <f>100000*B22</f>
        <v>4000</v>
      </c>
      <c r="C23" s="30">
        <f t="shared" ref="C23:H23" si="3">100000*C22</f>
        <v>8000</v>
      </c>
      <c r="D23" s="30">
        <f t="shared" si="3"/>
        <v>12000</v>
      </c>
      <c r="E23" s="30">
        <f t="shared" si="3"/>
        <v>16000</v>
      </c>
      <c r="F23" s="30">
        <f t="shared" si="3"/>
        <v>20000</v>
      </c>
      <c r="G23" s="30">
        <f t="shared" si="3"/>
        <v>30000</v>
      </c>
      <c r="H23" s="30">
        <f t="shared" si="3"/>
        <v>40000</v>
      </c>
    </row>
    <row r="24" spans="1:8">
      <c r="B24" s="30"/>
      <c r="C24" s="30"/>
      <c r="D24" s="30"/>
      <c r="E24" s="30"/>
      <c r="F24" s="30"/>
      <c r="G24" s="30"/>
      <c r="H24" s="30"/>
    </row>
    <row r="25" spans="1:8">
      <c r="A25" s="3" t="s">
        <v>180</v>
      </c>
      <c r="B25" s="30">
        <f>100000-0.06*300000</f>
        <v>82000</v>
      </c>
      <c r="C25" s="30">
        <f t="shared" ref="C25:H25" si="4">100000-0.06*300000</f>
        <v>82000</v>
      </c>
      <c r="D25" s="30">
        <f t="shared" si="4"/>
        <v>82000</v>
      </c>
      <c r="E25" s="30">
        <f t="shared" si="4"/>
        <v>82000</v>
      </c>
      <c r="F25" s="30">
        <f t="shared" si="4"/>
        <v>82000</v>
      </c>
      <c r="G25" s="30">
        <f t="shared" si="4"/>
        <v>82000</v>
      </c>
      <c r="H25" s="30">
        <f t="shared" si="4"/>
        <v>82000</v>
      </c>
    </row>
    <row r="26" spans="1:8">
      <c r="A26" s="3" t="s">
        <v>181</v>
      </c>
      <c r="B26" s="30">
        <f>B25*0.04</f>
        <v>3280</v>
      </c>
      <c r="C26" s="30">
        <f t="shared" ref="C26:H26" si="5">C25*0.04</f>
        <v>3280</v>
      </c>
      <c r="D26" s="30">
        <f t="shared" si="5"/>
        <v>3280</v>
      </c>
      <c r="E26" s="30">
        <f t="shared" si="5"/>
        <v>3280</v>
      </c>
      <c r="F26" s="30">
        <f t="shared" si="5"/>
        <v>3280</v>
      </c>
      <c r="G26" s="30">
        <f t="shared" si="5"/>
        <v>3280</v>
      </c>
      <c r="H26" s="30">
        <f t="shared" si="5"/>
        <v>3280</v>
      </c>
    </row>
    <row r="27" spans="1:8">
      <c r="B27" s="30"/>
      <c r="C27" s="30"/>
      <c r="D27" s="30"/>
      <c r="E27" s="30"/>
      <c r="F27" s="30"/>
      <c r="G27" s="30"/>
      <c r="H27" s="30"/>
    </row>
    <row r="28" spans="1:8">
      <c r="B28" s="30"/>
      <c r="C28" s="30"/>
      <c r="D28" s="30"/>
      <c r="E28" s="30"/>
      <c r="F28" s="30"/>
      <c r="G28" s="30"/>
      <c r="H28" s="30"/>
    </row>
    <row r="29" spans="1:8">
      <c r="A29" s="3" t="s">
        <v>182</v>
      </c>
      <c r="B29" s="30">
        <f t="shared" ref="B29:H29" si="6">B23-B26</f>
        <v>720</v>
      </c>
      <c r="C29" s="30">
        <f t="shared" si="6"/>
        <v>4720</v>
      </c>
      <c r="D29" s="30">
        <f t="shared" si="6"/>
        <v>8720</v>
      </c>
      <c r="E29" s="30">
        <f t="shared" si="6"/>
        <v>12720</v>
      </c>
      <c r="F29" s="30">
        <f t="shared" si="6"/>
        <v>16720</v>
      </c>
      <c r="G29" s="30">
        <f t="shared" si="6"/>
        <v>26720</v>
      </c>
      <c r="H29" s="30">
        <f t="shared" si="6"/>
        <v>36720</v>
      </c>
    </row>
    <row r="30" spans="1:8">
      <c r="A30" s="3" t="s">
        <v>183</v>
      </c>
      <c r="B30" s="36">
        <v>0.125</v>
      </c>
      <c r="C30" s="36">
        <v>0.125</v>
      </c>
      <c r="D30" s="36">
        <v>0.125</v>
      </c>
      <c r="E30" s="36">
        <v>0.125</v>
      </c>
      <c r="F30" s="36">
        <v>0.125</v>
      </c>
      <c r="G30" s="36">
        <v>0.125</v>
      </c>
      <c r="H30" s="36">
        <v>0.125</v>
      </c>
    </row>
    <row r="32" spans="1:8">
      <c r="A32" s="3" t="s">
        <v>107</v>
      </c>
      <c r="B32" s="30">
        <f t="shared" ref="B32:H32" si="7">IF(B29&gt;0,B29*B30,0)</f>
        <v>90</v>
      </c>
      <c r="C32" s="30">
        <f t="shared" si="7"/>
        <v>590</v>
      </c>
      <c r="D32" s="30">
        <f t="shared" si="7"/>
        <v>1090</v>
      </c>
      <c r="E32" s="30">
        <f t="shared" si="7"/>
        <v>1590</v>
      </c>
      <c r="F32" s="30">
        <f t="shared" si="7"/>
        <v>2090</v>
      </c>
      <c r="G32" s="30">
        <f t="shared" si="7"/>
        <v>3340</v>
      </c>
      <c r="H32" s="30">
        <f t="shared" si="7"/>
        <v>4590</v>
      </c>
    </row>
    <row r="34" spans="1:8">
      <c r="A34" s="4" t="s">
        <v>306</v>
      </c>
    </row>
    <row r="35" spans="1:8" ht="54.75" customHeight="1">
      <c r="A35" s="21" t="s">
        <v>472</v>
      </c>
      <c r="B35" s="21"/>
      <c r="C35" s="21"/>
      <c r="D35" s="21"/>
      <c r="E35" s="21"/>
      <c r="F35" s="21"/>
      <c r="G35" s="21"/>
      <c r="H35" s="21"/>
    </row>
    <row r="36" spans="1:8" ht="29.25" customHeight="1">
      <c r="A36" s="21" t="s">
        <v>213</v>
      </c>
      <c r="B36" s="21"/>
      <c r="C36" s="21"/>
      <c r="D36" s="21"/>
      <c r="E36" s="21"/>
      <c r="F36" s="21"/>
      <c r="G36" s="21"/>
      <c r="H36" s="21"/>
    </row>
    <row r="37" spans="1:8" ht="27" customHeight="1">
      <c r="A37" s="21" t="s">
        <v>214</v>
      </c>
      <c r="B37" s="21"/>
      <c r="C37" s="21"/>
      <c r="D37" s="21"/>
      <c r="E37" s="21"/>
      <c r="F37" s="21"/>
      <c r="G37" s="21"/>
      <c r="H37" s="21"/>
    </row>
    <row r="38" spans="1:8" ht="69.75" customHeight="1">
      <c r="A38" s="21" t="s">
        <v>370</v>
      </c>
      <c r="B38" s="21"/>
      <c r="C38" s="21"/>
      <c r="D38" s="21"/>
      <c r="E38" s="21"/>
      <c r="F38" s="21"/>
      <c r="G38" s="21"/>
      <c r="H38" s="21"/>
    </row>
    <row r="40" spans="1:8">
      <c r="A40" s="4" t="s">
        <v>143</v>
      </c>
    </row>
    <row r="41" spans="1:8">
      <c r="A41" s="3" t="s">
        <v>153</v>
      </c>
    </row>
  </sheetData>
  <mergeCells count="4">
    <mergeCell ref="A36:H36"/>
    <mergeCell ref="A37:H37"/>
    <mergeCell ref="A38:H38"/>
    <mergeCell ref="A35:H35"/>
  </mergeCells>
  <phoneticPr fontId="2" type="noConversion"/>
  <hyperlinks>
    <hyperlink ref="A4" location="Inhalt!A1" display="&lt;&lt;&lt; Inhalt" xr:uid="{BAB40FFB-4547-46AB-AEC4-5BD4A3B4B0E3}"/>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41"/>
  <sheetViews>
    <sheetView zoomScaleNormal="100" workbookViewId="0">
      <selection activeCell="A4" sqref="A4"/>
    </sheetView>
  </sheetViews>
  <sheetFormatPr baseColWidth="10" defaultRowHeight="12.75"/>
  <cols>
    <col min="1" max="1" width="25.42578125" style="3" customWidth="1"/>
    <col min="2" max="8" width="8.7109375" style="3" customWidth="1"/>
    <col min="9" max="16384" width="11.42578125" style="3"/>
  </cols>
  <sheetData>
    <row r="1" spans="1:8" s="23" customFormat="1" ht="15.75">
      <c r="A1" s="23" t="s">
        <v>360</v>
      </c>
    </row>
    <row r="2" spans="1:8">
      <c r="A2" s="3" t="s">
        <v>485</v>
      </c>
    </row>
    <row r="4" spans="1:8">
      <c r="A4" s="40" t="s">
        <v>551</v>
      </c>
    </row>
    <row r="6" spans="1:8">
      <c r="A6" s="3" t="s">
        <v>533</v>
      </c>
    </row>
    <row r="8" spans="1:8">
      <c r="A8" s="24" t="s">
        <v>120</v>
      </c>
      <c r="B8" s="39">
        <v>0.04</v>
      </c>
      <c r="C8" s="39">
        <v>0.08</v>
      </c>
      <c r="D8" s="39">
        <v>0.12</v>
      </c>
      <c r="E8" s="39">
        <v>0.16</v>
      </c>
      <c r="F8" s="39">
        <v>0.2</v>
      </c>
      <c r="G8" s="39">
        <v>0.3</v>
      </c>
      <c r="H8" s="39">
        <v>0.4</v>
      </c>
    </row>
    <row r="9" spans="1:8">
      <c r="A9" s="3" t="s">
        <v>179</v>
      </c>
      <c r="B9" s="30">
        <f>2000000*B8</f>
        <v>80000</v>
      </c>
      <c r="C9" s="30">
        <f t="shared" ref="C9:H9" si="0">2000000*C8</f>
        <v>160000</v>
      </c>
      <c r="D9" s="30">
        <f t="shared" si="0"/>
        <v>240000</v>
      </c>
      <c r="E9" s="30">
        <f t="shared" si="0"/>
        <v>320000</v>
      </c>
      <c r="F9" s="30">
        <f t="shared" si="0"/>
        <v>400000</v>
      </c>
      <c r="G9" s="30">
        <f t="shared" si="0"/>
        <v>600000</v>
      </c>
      <c r="H9" s="30">
        <f t="shared" si="0"/>
        <v>800000</v>
      </c>
    </row>
    <row r="10" spans="1:8">
      <c r="B10" s="30"/>
      <c r="C10" s="30"/>
      <c r="D10" s="30"/>
      <c r="E10" s="30"/>
      <c r="F10" s="30"/>
      <c r="G10" s="30"/>
      <c r="H10" s="30"/>
    </row>
    <row r="11" spans="1:8">
      <c r="A11" s="3" t="s">
        <v>107</v>
      </c>
      <c r="B11" s="30">
        <f>B32</f>
        <v>1800</v>
      </c>
      <c r="C11" s="30">
        <f t="shared" ref="C11:H11" si="1">C32</f>
        <v>11800</v>
      </c>
      <c r="D11" s="30">
        <f t="shared" si="1"/>
        <v>21800</v>
      </c>
      <c r="E11" s="30">
        <f t="shared" si="1"/>
        <v>31800</v>
      </c>
      <c r="F11" s="30">
        <f t="shared" si="1"/>
        <v>41800</v>
      </c>
      <c r="G11" s="30">
        <f t="shared" si="1"/>
        <v>66800</v>
      </c>
      <c r="H11" s="30">
        <f t="shared" si="1"/>
        <v>91800</v>
      </c>
    </row>
    <row r="12" spans="1:8">
      <c r="A12" s="3" t="s">
        <v>108</v>
      </c>
      <c r="B12" s="36">
        <f>B11/B9</f>
        <v>2.2499999999999999E-2</v>
      </c>
      <c r="C12" s="36">
        <f t="shared" ref="C12:H12" si="2">C11/C9</f>
        <v>7.3749999999999996E-2</v>
      </c>
      <c r="D12" s="36">
        <f t="shared" si="2"/>
        <v>9.0833333333333335E-2</v>
      </c>
      <c r="E12" s="36">
        <f t="shared" si="2"/>
        <v>9.9375000000000005E-2</v>
      </c>
      <c r="F12" s="36">
        <f t="shared" si="2"/>
        <v>0.1045</v>
      </c>
      <c r="G12" s="36">
        <f t="shared" si="2"/>
        <v>0.11133333333333334</v>
      </c>
      <c r="H12" s="36">
        <f t="shared" si="2"/>
        <v>0.11475</v>
      </c>
    </row>
    <row r="17" spans="1:9" s="23" customFormat="1" ht="15.75">
      <c r="A17" s="23" t="s">
        <v>361</v>
      </c>
    </row>
    <row r="18" spans="1:9">
      <c r="A18" s="3" t="s">
        <v>482</v>
      </c>
    </row>
    <row r="20" spans="1:9">
      <c r="A20" s="3" t="s">
        <v>536</v>
      </c>
    </row>
    <row r="22" spans="1:9">
      <c r="A22" s="24" t="s">
        <v>120</v>
      </c>
      <c r="B22" s="39">
        <v>0.04</v>
      </c>
      <c r="C22" s="39">
        <v>0.08</v>
      </c>
      <c r="D22" s="39">
        <v>0.12</v>
      </c>
      <c r="E22" s="39">
        <v>0.16</v>
      </c>
      <c r="F22" s="39">
        <v>0.2</v>
      </c>
      <c r="G22" s="39">
        <v>0.3</v>
      </c>
      <c r="H22" s="39">
        <v>0.4</v>
      </c>
      <c r="I22" s="38"/>
    </row>
    <row r="23" spans="1:9">
      <c r="A23" s="3" t="s">
        <v>179</v>
      </c>
      <c r="B23" s="30">
        <f>2000000*B22</f>
        <v>80000</v>
      </c>
      <c r="C23" s="30">
        <f t="shared" ref="C23:H23" si="3">2000000*C22</f>
        <v>160000</v>
      </c>
      <c r="D23" s="30">
        <f t="shared" si="3"/>
        <v>240000</v>
      </c>
      <c r="E23" s="30">
        <f t="shared" si="3"/>
        <v>320000</v>
      </c>
      <c r="F23" s="30">
        <f t="shared" si="3"/>
        <v>400000</v>
      </c>
      <c r="G23" s="30">
        <f t="shared" si="3"/>
        <v>600000</v>
      </c>
      <c r="H23" s="30">
        <f t="shared" si="3"/>
        <v>800000</v>
      </c>
    </row>
    <row r="24" spans="1:9">
      <c r="B24" s="30"/>
      <c r="C24" s="30"/>
      <c r="D24" s="30"/>
      <c r="E24" s="30"/>
      <c r="F24" s="30"/>
      <c r="G24" s="30"/>
      <c r="H24" s="30"/>
    </row>
    <row r="25" spans="1:9">
      <c r="A25" s="3" t="s">
        <v>180</v>
      </c>
      <c r="B25" s="30">
        <f>2000000-0.06*6000000</f>
        <v>1640000</v>
      </c>
      <c r="C25" s="30">
        <f t="shared" ref="C25:H25" si="4">2000000-0.06*6000000</f>
        <v>1640000</v>
      </c>
      <c r="D25" s="30">
        <f t="shared" si="4"/>
        <v>1640000</v>
      </c>
      <c r="E25" s="30">
        <f t="shared" si="4"/>
        <v>1640000</v>
      </c>
      <c r="F25" s="30">
        <f t="shared" si="4"/>
        <v>1640000</v>
      </c>
      <c r="G25" s="30">
        <f t="shared" si="4"/>
        <v>1640000</v>
      </c>
      <c r="H25" s="30">
        <f t="shared" si="4"/>
        <v>1640000</v>
      </c>
    </row>
    <row r="26" spans="1:9">
      <c r="A26" s="3" t="s">
        <v>181</v>
      </c>
      <c r="B26" s="30">
        <f>B25*0.04</f>
        <v>65600</v>
      </c>
      <c r="C26" s="30">
        <f t="shared" ref="C26:H26" si="5">C25*0.04</f>
        <v>65600</v>
      </c>
      <c r="D26" s="30">
        <f t="shared" si="5"/>
        <v>65600</v>
      </c>
      <c r="E26" s="30">
        <f t="shared" si="5"/>
        <v>65600</v>
      </c>
      <c r="F26" s="30">
        <f t="shared" si="5"/>
        <v>65600</v>
      </c>
      <c r="G26" s="30">
        <f t="shared" si="5"/>
        <v>65600</v>
      </c>
      <c r="H26" s="30">
        <f t="shared" si="5"/>
        <v>65600</v>
      </c>
    </row>
    <row r="27" spans="1:9">
      <c r="B27" s="30"/>
      <c r="C27" s="30"/>
      <c r="D27" s="30"/>
      <c r="E27" s="30"/>
      <c r="F27" s="30"/>
      <c r="G27" s="30"/>
      <c r="H27" s="30"/>
    </row>
    <row r="28" spans="1:9">
      <c r="B28" s="30"/>
      <c r="C28" s="30"/>
      <c r="D28" s="30"/>
      <c r="E28" s="30"/>
      <c r="F28" s="30"/>
      <c r="G28" s="30"/>
      <c r="H28" s="30"/>
    </row>
    <row r="29" spans="1:9">
      <c r="A29" s="3" t="s">
        <v>182</v>
      </c>
      <c r="B29" s="30">
        <f t="shared" ref="B29:H29" si="6">B23-B26</f>
        <v>14400</v>
      </c>
      <c r="C29" s="30">
        <f t="shared" si="6"/>
        <v>94400</v>
      </c>
      <c r="D29" s="30">
        <f t="shared" si="6"/>
        <v>174400</v>
      </c>
      <c r="E29" s="30">
        <f t="shared" si="6"/>
        <v>254400</v>
      </c>
      <c r="F29" s="30">
        <f t="shared" si="6"/>
        <v>334400</v>
      </c>
      <c r="G29" s="30">
        <f t="shared" si="6"/>
        <v>534400</v>
      </c>
      <c r="H29" s="30">
        <f t="shared" si="6"/>
        <v>734400</v>
      </c>
    </row>
    <row r="30" spans="1:9">
      <c r="A30" s="3" t="s">
        <v>183</v>
      </c>
      <c r="B30" s="36">
        <v>0.125</v>
      </c>
      <c r="C30" s="36">
        <v>0.125</v>
      </c>
      <c r="D30" s="36">
        <v>0.125</v>
      </c>
      <c r="E30" s="36">
        <v>0.125</v>
      </c>
      <c r="F30" s="36">
        <v>0.125</v>
      </c>
      <c r="G30" s="36">
        <v>0.125</v>
      </c>
      <c r="H30" s="36">
        <v>0.125</v>
      </c>
    </row>
    <row r="32" spans="1:9">
      <c r="A32" s="3" t="s">
        <v>107</v>
      </c>
      <c r="B32" s="30">
        <f t="shared" ref="B32:H32" si="7">IF(B29/B30&gt;1200,B29*B30,1200)</f>
        <v>1800</v>
      </c>
      <c r="C32" s="30">
        <f t="shared" si="7"/>
        <v>11800</v>
      </c>
      <c r="D32" s="30">
        <f t="shared" si="7"/>
        <v>21800</v>
      </c>
      <c r="E32" s="30">
        <f t="shared" si="7"/>
        <v>31800</v>
      </c>
      <c r="F32" s="30">
        <f t="shared" si="7"/>
        <v>41800</v>
      </c>
      <c r="G32" s="30">
        <f t="shared" si="7"/>
        <v>66800</v>
      </c>
      <c r="H32" s="30">
        <f t="shared" si="7"/>
        <v>91800</v>
      </c>
    </row>
    <row r="34" spans="1:8">
      <c r="A34" s="4" t="s">
        <v>306</v>
      </c>
    </row>
    <row r="35" spans="1:8" ht="15.75" customHeight="1">
      <c r="A35" s="21" t="s">
        <v>476</v>
      </c>
      <c r="B35" s="21"/>
      <c r="C35" s="21"/>
      <c r="D35" s="21"/>
      <c r="E35" s="21"/>
      <c r="F35" s="21"/>
      <c r="G35" s="21"/>
      <c r="H35" s="21"/>
    </row>
    <row r="36" spans="1:8" ht="27.75" customHeight="1">
      <c r="A36" s="21" t="s">
        <v>213</v>
      </c>
      <c r="B36" s="21"/>
      <c r="C36" s="21"/>
      <c r="D36" s="21"/>
      <c r="E36" s="21"/>
      <c r="F36" s="21"/>
      <c r="G36" s="21"/>
      <c r="H36" s="21"/>
    </row>
    <row r="37" spans="1:8" ht="27" customHeight="1">
      <c r="A37" s="21" t="s">
        <v>214</v>
      </c>
      <c r="B37" s="21"/>
      <c r="C37" s="21"/>
      <c r="D37" s="21"/>
      <c r="E37" s="21"/>
      <c r="F37" s="21"/>
      <c r="G37" s="21"/>
      <c r="H37" s="21"/>
    </row>
    <row r="38" spans="1:8" ht="64.5" customHeight="1">
      <c r="A38" s="21" t="s">
        <v>371</v>
      </c>
      <c r="B38" s="21"/>
      <c r="C38" s="21"/>
      <c r="D38" s="21"/>
      <c r="E38" s="21"/>
      <c r="F38" s="21"/>
      <c r="G38" s="21"/>
      <c r="H38" s="21"/>
    </row>
    <row r="40" spans="1:8">
      <c r="A40" s="4" t="s">
        <v>143</v>
      </c>
    </row>
    <row r="41" spans="1:8">
      <c r="A41" s="3" t="s">
        <v>153</v>
      </c>
    </row>
  </sheetData>
  <mergeCells count="4">
    <mergeCell ref="A36:H36"/>
    <mergeCell ref="A37:H37"/>
    <mergeCell ref="A38:H38"/>
    <mergeCell ref="A35:H35"/>
  </mergeCells>
  <phoneticPr fontId="2" type="noConversion"/>
  <hyperlinks>
    <hyperlink ref="A4" location="Inhalt!A1" display="&lt;&lt;&lt; Inhalt" xr:uid="{60281166-8D27-4CED-A367-9F87FC14B1B2}"/>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3" tint="0.79998168889431442"/>
  </sheetPr>
  <dimension ref="A1:A23"/>
  <sheetViews>
    <sheetView workbookViewId="0">
      <selection activeCell="A3" sqref="A3"/>
    </sheetView>
  </sheetViews>
  <sheetFormatPr baseColWidth="10" defaultRowHeight="12.75"/>
  <cols>
    <col min="1" max="16384" width="11.42578125" style="3"/>
  </cols>
  <sheetData>
    <row r="1" spans="1:1" s="4" customFormat="1"/>
    <row r="3" spans="1:1">
      <c r="A3" s="4" t="s">
        <v>455</v>
      </c>
    </row>
    <row r="23" s="23" customFormat="1" ht="15.75"/>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zoomScaleNormal="100" workbookViewId="0">
      <selection activeCell="A4" sqref="A4"/>
    </sheetView>
  </sheetViews>
  <sheetFormatPr baseColWidth="10" defaultRowHeight="12.75"/>
  <cols>
    <col min="1" max="1" width="33.7109375" style="3" customWidth="1"/>
    <col min="2" max="6" width="10" style="3" customWidth="1"/>
    <col min="7" max="16384" width="11.42578125" style="3"/>
  </cols>
  <sheetData>
    <row r="1" spans="1:6" s="23" customFormat="1" ht="15.75">
      <c r="A1" s="23" t="s">
        <v>242</v>
      </c>
    </row>
    <row r="2" spans="1:6">
      <c r="A2" s="3" t="s">
        <v>243</v>
      </c>
    </row>
    <row r="4" spans="1:6">
      <c r="A4" s="40" t="s">
        <v>551</v>
      </c>
    </row>
    <row r="6" spans="1:6">
      <c r="A6" s="3" t="s">
        <v>497</v>
      </c>
    </row>
    <row r="7" spans="1:6">
      <c r="A7" s="3" t="s">
        <v>55</v>
      </c>
    </row>
    <row r="8" spans="1:6">
      <c r="A8" s="24" t="s">
        <v>55</v>
      </c>
      <c r="B8" s="24" t="s">
        <v>376</v>
      </c>
      <c r="C8" s="24" t="s">
        <v>462</v>
      </c>
      <c r="D8" s="24" t="s">
        <v>465</v>
      </c>
      <c r="E8" s="24" t="s">
        <v>466</v>
      </c>
      <c r="F8" s="24" t="s">
        <v>480</v>
      </c>
    </row>
    <row r="10" spans="1:6">
      <c r="A10" s="3" t="s">
        <v>138</v>
      </c>
      <c r="B10" s="25">
        <v>851.98281199999997</v>
      </c>
      <c r="C10" s="25">
        <v>860.99195699999996</v>
      </c>
      <c r="D10" s="25">
        <v>909.82174899999995</v>
      </c>
      <c r="E10" s="25">
        <v>957.94320900000002</v>
      </c>
      <c r="F10" s="25">
        <v>1271.2878490000001</v>
      </c>
    </row>
    <row r="11" spans="1:6">
      <c r="A11" s="3" t="s">
        <v>372</v>
      </c>
      <c r="B11" s="25">
        <v>600.23450200000002</v>
      </c>
      <c r="C11" s="25">
        <v>606.50854600000002</v>
      </c>
      <c r="D11" s="25">
        <v>652.35561199999995</v>
      </c>
      <c r="E11" s="25">
        <v>693.56189300000005</v>
      </c>
      <c r="F11" s="25">
        <v>973.029763</v>
      </c>
    </row>
    <row r="12" spans="1:6">
      <c r="A12" s="3" t="s">
        <v>373</v>
      </c>
      <c r="B12" s="25">
        <v>251.74831</v>
      </c>
      <c r="C12" s="25">
        <v>254.48341099999999</v>
      </c>
      <c r="D12" s="25">
        <v>257.466137</v>
      </c>
      <c r="E12" s="25">
        <v>264.38131600000003</v>
      </c>
      <c r="F12" s="25">
        <v>298.25808599999999</v>
      </c>
    </row>
    <row r="13" spans="1:6">
      <c r="B13" s="25"/>
      <c r="C13" s="25"/>
      <c r="D13" s="25"/>
      <c r="E13" s="25"/>
      <c r="F13" s="25"/>
    </row>
    <row r="14" spans="1:6">
      <c r="A14" s="3" t="s">
        <v>145</v>
      </c>
      <c r="B14" s="25">
        <v>374.352058</v>
      </c>
      <c r="C14" s="25">
        <v>371.622139</v>
      </c>
      <c r="D14" s="25">
        <v>391.29434199999997</v>
      </c>
      <c r="E14" s="25">
        <v>416.917981</v>
      </c>
      <c r="F14" s="25">
        <v>421.11125099999998</v>
      </c>
    </row>
    <row r="15" spans="1:6">
      <c r="B15" s="25"/>
      <c r="C15" s="25"/>
      <c r="D15" s="25"/>
      <c r="E15" s="25"/>
      <c r="F15" s="25"/>
    </row>
    <row r="16" spans="1:6">
      <c r="A16" s="3" t="s">
        <v>139</v>
      </c>
      <c r="B16" s="25">
        <v>1226.3348699999999</v>
      </c>
      <c r="C16" s="25">
        <v>1232.614096</v>
      </c>
      <c r="D16" s="25">
        <v>1301.1160910000001</v>
      </c>
      <c r="E16" s="25">
        <v>1374.8611900000001</v>
      </c>
      <c r="F16" s="25">
        <v>1692.399099</v>
      </c>
    </row>
    <row r="17" spans="1:6">
      <c r="B17" s="25"/>
      <c r="C17" s="25"/>
      <c r="D17" s="25"/>
      <c r="E17" s="25"/>
      <c r="F17" s="25"/>
    </row>
    <row r="18" spans="1:6">
      <c r="A18" s="3" t="s">
        <v>142</v>
      </c>
      <c r="B18" s="25">
        <v>6146.2</v>
      </c>
      <c r="C18" s="25">
        <v>6375</v>
      </c>
      <c r="D18" s="25">
        <v>6688</v>
      </c>
      <c r="E18" s="25">
        <v>6643</v>
      </c>
      <c r="F18" s="25"/>
    </row>
    <row r="19" spans="1:6">
      <c r="B19" s="25"/>
      <c r="C19" s="25"/>
      <c r="D19" s="25"/>
      <c r="E19" s="25"/>
      <c r="F19" s="25"/>
    </row>
    <row r="20" spans="1:6">
      <c r="A20" s="3" t="s">
        <v>275</v>
      </c>
      <c r="B20" s="25">
        <f>SUM(B21:B22)</f>
        <v>1110.956649</v>
      </c>
      <c r="C20" s="25">
        <f>SUM(C21:C22)</f>
        <v>1192.977764</v>
      </c>
      <c r="D20" s="25">
        <f>SUM(D21:D22)</f>
        <v>1063.578454</v>
      </c>
      <c r="E20" s="25">
        <f>SUM(E21:E22)</f>
        <v>1369.2046149999999</v>
      </c>
      <c r="F20" s="25">
        <f>SUM(F21:F22)</f>
        <v>1621.4482399999999</v>
      </c>
    </row>
    <row r="21" spans="1:6">
      <c r="A21" s="3" t="s">
        <v>374</v>
      </c>
      <c r="B21" s="25">
        <v>785.12952600000006</v>
      </c>
      <c r="C21" s="25">
        <v>863.13352499999996</v>
      </c>
      <c r="D21" s="25">
        <v>745.24984099999995</v>
      </c>
      <c r="E21" s="25">
        <v>1026.7237339999999</v>
      </c>
      <c r="F21" s="25">
        <v>1254.3431399999999</v>
      </c>
    </row>
    <row r="22" spans="1:6">
      <c r="A22" s="3" t="s">
        <v>375</v>
      </c>
      <c r="B22" s="25">
        <v>325.82712299999997</v>
      </c>
      <c r="C22" s="25">
        <v>329.84423900000002</v>
      </c>
      <c r="D22" s="25">
        <v>318.32861300000002</v>
      </c>
      <c r="E22" s="25">
        <v>342.48088100000001</v>
      </c>
      <c r="F22" s="25">
        <v>367.10509999999999</v>
      </c>
    </row>
    <row r="25" spans="1:6" s="23" customFormat="1" ht="15.75"/>
    <row r="27" spans="1:6" s="23" customFormat="1" ht="15.75">
      <c r="A27" s="23" t="s">
        <v>244</v>
      </c>
    </row>
    <row r="28" spans="1:6">
      <c r="A28" s="3" t="s">
        <v>245</v>
      </c>
    </row>
    <row r="30" spans="1:6">
      <c r="A30" s="3" t="s">
        <v>498</v>
      </c>
    </row>
    <row r="32" spans="1:6" s="4" customFormat="1">
      <c r="A32" s="24"/>
      <c r="B32" s="24" t="str">
        <f>B8</f>
        <v>RJ 2016</v>
      </c>
      <c r="C32" s="24" t="str">
        <f t="shared" ref="C32:F32" si="0">C8</f>
        <v>RJ 2017</v>
      </c>
      <c r="D32" s="24" t="str">
        <f t="shared" si="0"/>
        <v>RJ 2018</v>
      </c>
      <c r="E32" s="24" t="str">
        <f t="shared" si="0"/>
        <v>RJ 2019</v>
      </c>
      <c r="F32" s="24" t="str">
        <f t="shared" si="0"/>
        <v>RJ 2020</v>
      </c>
    </row>
    <row r="34" spans="1:6">
      <c r="A34" s="3" t="s">
        <v>140</v>
      </c>
      <c r="B34" s="26">
        <f>B10/B18</f>
        <v>0.13861944160619569</v>
      </c>
      <c r="C34" s="26">
        <f>C10/C18</f>
        <v>0.13505756188235293</v>
      </c>
      <c r="D34" s="26">
        <f>D10/D18</f>
        <v>0.13603794093899521</v>
      </c>
      <c r="E34" s="26">
        <f>E10/E18</f>
        <v>0.14420340343218427</v>
      </c>
      <c r="F34" s="26" t="s">
        <v>85</v>
      </c>
    </row>
    <row r="35" spans="1:6">
      <c r="A35" s="3" t="s">
        <v>141</v>
      </c>
      <c r="B35" s="26">
        <f>B16/B18</f>
        <v>0.1995273290813836</v>
      </c>
      <c r="C35" s="26">
        <f>C16/C18</f>
        <v>0.19335123074509805</v>
      </c>
      <c r="D35" s="26">
        <f>D16/D18</f>
        <v>0.19454487006578949</v>
      </c>
      <c r="E35" s="26">
        <f>E16/E18</f>
        <v>0.20696390034622913</v>
      </c>
      <c r="F35" s="26" t="s">
        <v>85</v>
      </c>
    </row>
    <row r="36" spans="1:6">
      <c r="B36" s="26"/>
      <c r="C36" s="26"/>
      <c r="D36" s="26"/>
      <c r="E36" s="26"/>
      <c r="F36" s="26"/>
    </row>
    <row r="37" spans="1:6">
      <c r="A37" s="3" t="s">
        <v>273</v>
      </c>
      <c r="B37" s="26">
        <f t="shared" ref="B37:E39" si="1">B10/B20</f>
        <v>0.76689114086214893</v>
      </c>
      <c r="C37" s="26">
        <f t="shared" si="1"/>
        <v>0.72171668490545304</v>
      </c>
      <c r="D37" s="26">
        <f t="shared" si="1"/>
        <v>0.85543454324244894</v>
      </c>
      <c r="E37" s="26">
        <f t="shared" si="1"/>
        <v>0.69963480878276185</v>
      </c>
      <c r="F37" s="26">
        <f>F10/F20</f>
        <v>0.78404466922730764</v>
      </c>
    </row>
    <row r="38" spans="1:6">
      <c r="A38" s="3" t="s">
        <v>56</v>
      </c>
      <c r="B38" s="26">
        <f t="shared" si="1"/>
        <v>0.76450379475347863</v>
      </c>
      <c r="C38" s="26">
        <f t="shared" si="1"/>
        <v>0.70268217886682138</v>
      </c>
      <c r="D38" s="26">
        <f t="shared" si="1"/>
        <v>0.87535156146380177</v>
      </c>
      <c r="E38" s="26">
        <f t="shared" si="1"/>
        <v>0.67550975012329861</v>
      </c>
      <c r="F38" s="26">
        <f>F11/F21</f>
        <v>0.77572853230576133</v>
      </c>
    </row>
    <row r="39" spans="1:6">
      <c r="A39" s="3" t="s">
        <v>274</v>
      </c>
      <c r="B39" s="26">
        <f t="shared" si="1"/>
        <v>0.77264381087144796</v>
      </c>
      <c r="C39" s="26">
        <f t="shared" si="1"/>
        <v>0.77152601413177924</v>
      </c>
      <c r="D39" s="26">
        <f t="shared" si="1"/>
        <v>0.80880614084163394</v>
      </c>
      <c r="E39" s="26">
        <f t="shared" si="1"/>
        <v>0.77195934333046756</v>
      </c>
      <c r="F39" s="26">
        <f>F12/F22</f>
        <v>0.81245966345877518</v>
      </c>
    </row>
    <row r="41" spans="1:6">
      <c r="A41" s="4" t="s">
        <v>306</v>
      </c>
    </row>
    <row r="42" spans="1:6">
      <c r="A42" s="3" t="s">
        <v>496</v>
      </c>
    </row>
    <row r="43" spans="1:6">
      <c r="A43" s="3" t="s">
        <v>366</v>
      </c>
    </row>
    <row r="44" spans="1:6">
      <c r="A44" s="3" t="s">
        <v>490</v>
      </c>
    </row>
    <row r="45" spans="1:6">
      <c r="A45" s="3" t="s">
        <v>192</v>
      </c>
    </row>
    <row r="46" spans="1:6">
      <c r="A46" s="3" t="s">
        <v>193</v>
      </c>
    </row>
    <row r="47" spans="1:6">
      <c r="A47" s="3" t="s">
        <v>367</v>
      </c>
    </row>
  </sheetData>
  <customSheetViews>
    <customSheetView guid="{9E4C61FA-E6D1-438A-8921-8C22C886D6BA}" scale="150" showRuler="0">
      <selection activeCell="A2" sqref="A2"/>
      <pageMargins left="0.78740157480314965" right="0.78740157480314965" top="0.98425196850393704" bottom="0.98425196850393704" header="0.51181102362204722" footer="0.51181102362204722"/>
      <pageSetup paperSize="9" orientation="portrait" r:id="rId1"/>
      <headerFooter alignWithMargins="0">
        <oddFooter>&amp;LSteuerstatistik&amp;RVersion 1   &amp;D</oddFooter>
      </headerFooter>
    </customSheetView>
  </customSheetViews>
  <phoneticPr fontId="2" type="noConversion"/>
  <hyperlinks>
    <hyperlink ref="A4" location="Inhalt!A1" display="&lt;&lt;&lt; Inhalt" xr:uid="{DC5D89B2-528C-4979-8E10-C59063E078EC}"/>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G42"/>
  <sheetViews>
    <sheetView zoomScaleNormal="100" workbookViewId="0">
      <selection activeCell="A4" sqref="A4"/>
    </sheetView>
  </sheetViews>
  <sheetFormatPr baseColWidth="10" defaultRowHeight="12.75"/>
  <cols>
    <col min="1" max="1" width="18.28515625" style="3" customWidth="1"/>
    <col min="2" max="2" width="16.85546875" style="3" customWidth="1"/>
    <col min="3" max="3" width="8.85546875" style="3" customWidth="1"/>
    <col min="4" max="4" width="16.85546875" style="3" customWidth="1"/>
    <col min="5" max="5" width="8.85546875" style="3" customWidth="1"/>
    <col min="6" max="16384" width="11.42578125" style="3"/>
  </cols>
  <sheetData>
    <row r="1" spans="1:7" s="23" customFormat="1" ht="15.75">
      <c r="A1" s="23" t="s">
        <v>262</v>
      </c>
    </row>
    <row r="2" spans="1:7">
      <c r="A2" s="3" t="s">
        <v>263</v>
      </c>
    </row>
    <row r="4" spans="1:7">
      <c r="A4" s="40" t="s">
        <v>551</v>
      </c>
    </row>
    <row r="6" spans="1:7">
      <c r="A6" s="3" t="s">
        <v>546</v>
      </c>
    </row>
    <row r="8" spans="1:7">
      <c r="A8" s="24" t="s">
        <v>215</v>
      </c>
      <c r="B8" s="24" t="s">
        <v>53</v>
      </c>
      <c r="C8" s="24" t="s">
        <v>245</v>
      </c>
      <c r="D8" s="24" t="s">
        <v>54</v>
      </c>
      <c r="E8" s="24" t="s">
        <v>245</v>
      </c>
    </row>
    <row r="9" spans="1:7">
      <c r="A9" s="3">
        <v>1998</v>
      </c>
      <c r="B9" s="25">
        <v>746924027.28999996</v>
      </c>
      <c r="C9" s="2" t="s">
        <v>89</v>
      </c>
      <c r="D9" s="30">
        <v>562328583.47000003</v>
      </c>
      <c r="E9" s="2" t="s">
        <v>89</v>
      </c>
    </row>
    <row r="10" spans="1:7">
      <c r="A10" s="3">
        <v>1999</v>
      </c>
      <c r="B10" s="25">
        <v>830660317.61000001</v>
      </c>
      <c r="C10" s="26">
        <f>B10/B9-1</f>
        <v>0.11210817601331313</v>
      </c>
      <c r="D10" s="30">
        <v>615730383.47000003</v>
      </c>
      <c r="E10" s="26">
        <f>D10/D9-1</f>
        <v>9.4965473158895364E-2</v>
      </c>
      <c r="F10" s="25"/>
      <c r="G10" s="36"/>
    </row>
    <row r="11" spans="1:7">
      <c r="A11" s="3">
        <v>2000</v>
      </c>
      <c r="B11" s="25">
        <v>959568085.96000004</v>
      </c>
      <c r="C11" s="26">
        <f t="shared" ref="C11:E16" si="0">B11/B10-1</f>
        <v>0.15518710309997386</v>
      </c>
      <c r="D11" s="30">
        <v>739841260.49000001</v>
      </c>
      <c r="E11" s="26">
        <f t="shared" si="0"/>
        <v>0.20156692011942434</v>
      </c>
      <c r="F11" s="25"/>
      <c r="G11" s="36"/>
    </row>
    <row r="12" spans="1:7">
      <c r="A12" s="3">
        <v>2001</v>
      </c>
      <c r="B12" s="25">
        <v>992902212.32000005</v>
      </c>
      <c r="C12" s="26">
        <f t="shared" si="0"/>
        <v>3.4738677586021227E-2</v>
      </c>
      <c r="D12" s="30">
        <v>759121100.25</v>
      </c>
      <c r="E12" s="26">
        <f t="shared" si="0"/>
        <v>2.6059427595631623E-2</v>
      </c>
      <c r="F12" s="25"/>
      <c r="G12" s="36"/>
    </row>
    <row r="13" spans="1:7">
      <c r="A13" s="3">
        <v>2002</v>
      </c>
      <c r="B13" s="25">
        <v>958386160.88999999</v>
      </c>
      <c r="C13" s="26">
        <f t="shared" si="0"/>
        <v>-3.476279033496199E-2</v>
      </c>
      <c r="D13" s="30">
        <v>715659415.90999997</v>
      </c>
      <c r="E13" s="26">
        <f t="shared" si="0"/>
        <v>-5.7252636405030644E-2</v>
      </c>
      <c r="F13" s="25"/>
      <c r="G13" s="36"/>
    </row>
    <row r="14" spans="1:7">
      <c r="A14" s="3">
        <v>2003</v>
      </c>
      <c r="B14" s="25">
        <v>912643257.96000004</v>
      </c>
      <c r="C14" s="26">
        <f t="shared" si="0"/>
        <v>-4.7729093758533625E-2</v>
      </c>
      <c r="D14" s="30">
        <v>674841511.58000004</v>
      </c>
      <c r="E14" s="26">
        <f t="shared" si="0"/>
        <v>-5.7035376636661361E-2</v>
      </c>
      <c r="F14" s="25"/>
      <c r="G14" s="36"/>
    </row>
    <row r="15" spans="1:7">
      <c r="A15" s="3">
        <v>2004</v>
      </c>
      <c r="B15" s="25">
        <v>909393559.36000001</v>
      </c>
      <c r="C15" s="26">
        <f t="shared" si="0"/>
        <v>-3.5607545135039054E-3</v>
      </c>
      <c r="D15" s="30">
        <v>664652375.20000005</v>
      </c>
      <c r="E15" s="26">
        <f t="shared" si="0"/>
        <v>-1.5098561966267132E-2</v>
      </c>
      <c r="F15" s="25"/>
      <c r="G15" s="36"/>
    </row>
    <row r="16" spans="1:7">
      <c r="A16" s="3">
        <v>2005</v>
      </c>
      <c r="B16" s="25">
        <v>972131189.87</v>
      </c>
      <c r="C16" s="26">
        <f t="shared" si="0"/>
        <v>6.8988426258651536E-2</v>
      </c>
      <c r="D16" s="30">
        <v>714034680.96000004</v>
      </c>
      <c r="E16" s="26">
        <f t="shared" si="0"/>
        <v>7.4297945215557881E-2</v>
      </c>
      <c r="F16" s="25"/>
      <c r="G16" s="36"/>
    </row>
    <row r="17" spans="1:7">
      <c r="A17" s="3">
        <v>2006</v>
      </c>
      <c r="B17" s="25">
        <v>1051820319.6</v>
      </c>
      <c r="C17" s="26">
        <f t="shared" ref="C17:C23" si="1">B17/B16-1</f>
        <v>8.197363746826869E-2</v>
      </c>
      <c r="D17" s="30">
        <v>771294544.29999995</v>
      </c>
      <c r="E17" s="26">
        <f t="shared" ref="E17:E23" si="2">D17/D16-1</f>
        <v>8.0191991883385327E-2</v>
      </c>
      <c r="F17" s="25"/>
      <c r="G17" s="36"/>
    </row>
    <row r="18" spans="1:7">
      <c r="A18" s="3">
        <v>2007</v>
      </c>
      <c r="B18" s="25">
        <v>1155002987.5799999</v>
      </c>
      <c r="C18" s="26">
        <f t="shared" si="1"/>
        <v>9.8099139232487476E-2</v>
      </c>
      <c r="D18" s="30">
        <v>857993279.75</v>
      </c>
      <c r="E18" s="26">
        <f t="shared" si="2"/>
        <v>0.11240677908422758</v>
      </c>
      <c r="F18" s="25"/>
      <c r="G18" s="36"/>
    </row>
    <row r="19" spans="1:7">
      <c r="A19" s="3">
        <v>2008</v>
      </c>
      <c r="B19" s="25">
        <v>1223908505.1800001</v>
      </c>
      <c r="C19" s="26">
        <f t="shared" si="1"/>
        <v>5.965830248142745E-2</v>
      </c>
      <c r="D19" s="30">
        <v>911134487.95000005</v>
      </c>
      <c r="E19" s="26">
        <f t="shared" si="2"/>
        <v>6.193662520933052E-2</v>
      </c>
      <c r="F19" s="25"/>
      <c r="G19" s="36"/>
    </row>
    <row r="20" spans="1:7">
      <c r="A20" s="3">
        <v>2009</v>
      </c>
      <c r="B20" s="25">
        <v>1150140043.75</v>
      </c>
      <c r="C20" s="26">
        <f t="shared" si="1"/>
        <v>-6.027285627788892E-2</v>
      </c>
      <c r="D20" s="30">
        <v>820885569.96000004</v>
      </c>
      <c r="E20" s="26">
        <f t="shared" si="2"/>
        <v>-9.9051149071368028E-2</v>
      </c>
      <c r="F20" s="25"/>
      <c r="G20" s="36"/>
    </row>
    <row r="21" spans="1:7">
      <c r="A21" s="3">
        <v>2010</v>
      </c>
      <c r="B21" s="25">
        <v>1164732042.49</v>
      </c>
      <c r="C21" s="26">
        <f t="shared" si="1"/>
        <v>1.2687149551304344E-2</v>
      </c>
      <c r="D21" s="30">
        <v>840475760.60000002</v>
      </c>
      <c r="E21" s="26">
        <f t="shared" si="2"/>
        <v>2.386470338485136E-2</v>
      </c>
      <c r="F21" s="25"/>
      <c r="G21" s="36"/>
    </row>
    <row r="22" spans="1:7">
      <c r="A22" s="3">
        <v>2011</v>
      </c>
      <c r="B22" s="25">
        <v>1146861068.75</v>
      </c>
      <c r="C22" s="26">
        <f t="shared" si="1"/>
        <v>-1.5343420707989552E-2</v>
      </c>
      <c r="D22" s="30">
        <v>815899037.83000004</v>
      </c>
      <c r="E22" s="26">
        <f t="shared" si="2"/>
        <v>-2.924144148125718E-2</v>
      </c>
      <c r="F22" s="25"/>
      <c r="G22" s="36"/>
    </row>
    <row r="23" spans="1:7">
      <c r="A23" s="3">
        <v>2012</v>
      </c>
      <c r="B23" s="25">
        <v>1242170897.1199999</v>
      </c>
      <c r="C23" s="26">
        <f t="shared" si="1"/>
        <v>8.31049470306644E-2</v>
      </c>
      <c r="D23" s="30">
        <v>899169033.17999995</v>
      </c>
      <c r="E23" s="26">
        <f t="shared" si="2"/>
        <v>0.10205919052370538</v>
      </c>
      <c r="F23" s="25"/>
      <c r="G23" s="36"/>
    </row>
    <row r="24" spans="1:7">
      <c r="A24" s="3">
        <v>2013</v>
      </c>
      <c r="B24" s="25">
        <v>1007572731.6900001</v>
      </c>
      <c r="C24" s="26">
        <f t="shared" ref="C24:C29" si="3">B24/B23-1</f>
        <v>-0.1888614247636301</v>
      </c>
      <c r="D24" s="30">
        <v>658248191.23000002</v>
      </c>
      <c r="E24" s="26">
        <f t="shared" ref="E24:E29" si="4">D24/D23-1</f>
        <v>-0.26793720986804848</v>
      </c>
      <c r="F24" s="25"/>
      <c r="G24" s="36"/>
    </row>
    <row r="25" spans="1:7">
      <c r="A25" s="3">
        <v>2014</v>
      </c>
      <c r="B25" s="25">
        <v>1143365457.03</v>
      </c>
      <c r="C25" s="26">
        <f t="shared" si="3"/>
        <v>0.13477213214398431</v>
      </c>
      <c r="D25" s="30">
        <v>780375694.32000005</v>
      </c>
      <c r="E25" s="26">
        <f t="shared" si="4"/>
        <v>0.18553412636317779</v>
      </c>
      <c r="F25" s="25"/>
      <c r="G25" s="36"/>
    </row>
    <row r="26" spans="1:7">
      <c r="A26" s="3">
        <v>2015</v>
      </c>
      <c r="B26" s="25">
        <v>1232369915.3800001</v>
      </c>
      <c r="C26" s="26">
        <f t="shared" si="3"/>
        <v>7.7844277875245282E-2</v>
      </c>
      <c r="D26" s="30">
        <v>867474114.66999996</v>
      </c>
      <c r="E26" s="26">
        <f t="shared" si="4"/>
        <v>0.11161088304511502</v>
      </c>
      <c r="F26" s="25"/>
      <c r="G26" s="36"/>
    </row>
    <row r="27" spans="1:7">
      <c r="A27" s="3">
        <v>2016</v>
      </c>
      <c r="B27" s="25">
        <v>1226334869.8499999</v>
      </c>
      <c r="C27" s="26">
        <f t="shared" si="3"/>
        <v>-4.8971055319371182E-3</v>
      </c>
      <c r="D27" s="30">
        <v>851982812</v>
      </c>
      <c r="E27" s="26">
        <f t="shared" si="4"/>
        <v>-1.7857942280955608E-2</v>
      </c>
      <c r="F27" s="25"/>
      <c r="G27" s="36"/>
    </row>
    <row r="28" spans="1:7">
      <c r="A28" s="3">
        <v>2017</v>
      </c>
      <c r="B28" s="25">
        <v>1232614095.8599999</v>
      </c>
      <c r="C28" s="26">
        <f t="shared" si="3"/>
        <v>5.1203192246893625E-3</v>
      </c>
      <c r="D28" s="30">
        <v>860991956.5</v>
      </c>
      <c r="E28" s="26">
        <f t="shared" si="4"/>
        <v>1.0574326586297422E-2</v>
      </c>
      <c r="F28" s="25"/>
      <c r="G28" s="36"/>
    </row>
    <row r="29" spans="1:7">
      <c r="A29" s="3">
        <v>2018</v>
      </c>
      <c r="B29" s="25">
        <v>1301116090.9200001</v>
      </c>
      <c r="C29" s="26">
        <f t="shared" si="3"/>
        <v>5.5574567328151581E-2</v>
      </c>
      <c r="D29" s="30">
        <v>909821749</v>
      </c>
      <c r="E29" s="26">
        <f t="shared" si="4"/>
        <v>5.6713413094469534E-2</v>
      </c>
      <c r="F29" s="25"/>
      <c r="G29" s="36"/>
    </row>
    <row r="30" spans="1:7">
      <c r="A30" s="3">
        <v>2019</v>
      </c>
      <c r="B30" s="25">
        <v>1374861190.29</v>
      </c>
      <c r="C30" s="26">
        <f>B30/B29-1</f>
        <v>5.6678339376969644E-2</v>
      </c>
      <c r="D30" s="30">
        <v>957943208.98000002</v>
      </c>
      <c r="E30" s="26">
        <f>D30/D29-1</f>
        <v>5.2891085570213159E-2</v>
      </c>
      <c r="F30" s="25"/>
      <c r="G30" s="36"/>
    </row>
    <row r="31" spans="1:7">
      <c r="A31" s="3">
        <v>2020</v>
      </c>
      <c r="B31" s="25">
        <v>1692399099.23</v>
      </c>
      <c r="C31" s="26">
        <f>B31/B30-1</f>
        <v>0.23095997703813409</v>
      </c>
      <c r="D31" s="30">
        <v>1271287848.71</v>
      </c>
      <c r="E31" s="26">
        <f>D31/D30-1</f>
        <v>0.32710147824279012</v>
      </c>
      <c r="F31" s="25"/>
      <c r="G31" s="36"/>
    </row>
    <row r="32" spans="1:7">
      <c r="B32" s="25"/>
      <c r="C32" s="26"/>
      <c r="D32" s="30"/>
      <c r="E32" s="26"/>
      <c r="F32" s="25"/>
      <c r="G32" s="36"/>
    </row>
    <row r="33" spans="1:7">
      <c r="A33" s="3" t="s">
        <v>79</v>
      </c>
      <c r="B33" s="25"/>
      <c r="C33" s="26">
        <f>(B31/B9)^(1/22)-1</f>
        <v>3.787882746367921E-2</v>
      </c>
      <c r="D33" s="30"/>
      <c r="E33" s="26">
        <f>(D31/D9)^(1/22)-1</f>
        <v>3.7773179711237059E-2</v>
      </c>
      <c r="F33" s="25"/>
      <c r="G33" s="36"/>
    </row>
    <row r="34" spans="1:7">
      <c r="B34" s="25"/>
      <c r="C34" s="26"/>
      <c r="D34" s="30"/>
      <c r="E34" s="26"/>
      <c r="F34" s="25"/>
      <c r="G34" s="36"/>
    </row>
    <row r="35" spans="1:7">
      <c r="B35" s="25"/>
      <c r="C35" s="36"/>
      <c r="D35" s="25"/>
      <c r="E35" s="36"/>
      <c r="F35" s="25"/>
      <c r="G35" s="36"/>
    </row>
    <row r="36" spans="1:7">
      <c r="B36" s="25"/>
      <c r="C36" s="36"/>
      <c r="D36" s="25"/>
      <c r="E36" s="36"/>
      <c r="F36" s="25"/>
      <c r="G36" s="36"/>
    </row>
    <row r="37" spans="1:7">
      <c r="B37" s="25"/>
      <c r="C37" s="36"/>
      <c r="D37" s="25"/>
      <c r="E37" s="36"/>
      <c r="F37" s="25"/>
      <c r="G37" s="36"/>
    </row>
    <row r="38" spans="1:7">
      <c r="B38" s="25"/>
      <c r="C38" s="36"/>
      <c r="D38" s="25"/>
      <c r="E38" s="36"/>
      <c r="F38" s="25"/>
      <c r="G38" s="36"/>
    </row>
    <row r="39" spans="1:7">
      <c r="B39" s="25"/>
      <c r="C39" s="36"/>
      <c r="D39" s="25"/>
      <c r="E39" s="36"/>
      <c r="F39" s="25"/>
      <c r="G39" s="36"/>
    </row>
    <row r="40" spans="1:7">
      <c r="B40" s="25"/>
      <c r="C40" s="36"/>
      <c r="D40" s="25"/>
      <c r="E40" s="36"/>
      <c r="F40" s="25"/>
      <c r="G40" s="36"/>
    </row>
    <row r="41" spans="1:7">
      <c r="C41" s="36"/>
      <c r="E41" s="36"/>
      <c r="G41" s="36"/>
    </row>
    <row r="42" spans="1:7">
      <c r="C42" s="36"/>
      <c r="E42" s="36"/>
      <c r="G42" s="36"/>
    </row>
  </sheetData>
  <customSheetViews>
    <customSheetView guid="{9E4C61FA-E6D1-438A-8921-8C22C886D6BA}" showRuler="0">
      <selection activeCell="A52" sqref="A52"/>
      <pageMargins left="0.78740157499999996" right="0.6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E9CDF860-983D-49F5-9150-5A511A4B56C3}"/>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G48"/>
  <sheetViews>
    <sheetView zoomScaleNormal="100" workbookViewId="0">
      <selection activeCell="A4" sqref="A4"/>
    </sheetView>
  </sheetViews>
  <sheetFormatPr baseColWidth="10" defaultRowHeight="12.75"/>
  <cols>
    <col min="1" max="1" width="10.7109375" style="3" customWidth="1"/>
    <col min="2" max="2" width="16.42578125" style="3" customWidth="1"/>
    <col min="3" max="3" width="8.28515625" style="3" customWidth="1"/>
    <col min="4" max="4" width="14.140625" style="3" customWidth="1"/>
    <col min="5" max="5" width="7.42578125" style="3" customWidth="1"/>
    <col min="6" max="6" width="14.5703125" style="3" customWidth="1"/>
    <col min="7" max="7" width="8.42578125" style="3" customWidth="1"/>
    <col min="8" max="16384" width="11.42578125" style="3"/>
  </cols>
  <sheetData>
    <row r="1" spans="1:7" s="23" customFormat="1" ht="15.75">
      <c r="A1" s="23" t="s">
        <v>278</v>
      </c>
    </row>
    <row r="2" spans="1:7">
      <c r="A2" s="3" t="s">
        <v>263</v>
      </c>
    </row>
    <row r="4" spans="1:7">
      <c r="A4" s="40" t="s">
        <v>551</v>
      </c>
    </row>
    <row r="6" spans="1:7">
      <c r="A6" s="3" t="s">
        <v>547</v>
      </c>
    </row>
    <row r="8" spans="1:7">
      <c r="A8" s="24" t="s">
        <v>215</v>
      </c>
      <c r="B8" s="24" t="s">
        <v>216</v>
      </c>
      <c r="C8" s="24" t="s">
        <v>245</v>
      </c>
      <c r="D8" s="24" t="s">
        <v>32</v>
      </c>
      <c r="E8" s="24" t="s">
        <v>245</v>
      </c>
      <c r="F8" s="24" t="s">
        <v>1</v>
      </c>
      <c r="G8" s="24" t="s">
        <v>245</v>
      </c>
    </row>
    <row r="9" spans="1:7">
      <c r="A9" s="3">
        <v>1990</v>
      </c>
      <c r="B9" s="3">
        <v>62173362.450000003</v>
      </c>
      <c r="C9" s="3">
        <v>-2E-3</v>
      </c>
      <c r="D9" s="3">
        <v>37299895.399999999</v>
      </c>
      <c r="E9" s="3">
        <v>0.13900000000000001</v>
      </c>
      <c r="F9" s="3">
        <v>20242276.199999999</v>
      </c>
      <c r="G9" s="3">
        <v>0.105</v>
      </c>
    </row>
    <row r="10" spans="1:7">
      <c r="A10" s="3">
        <v>1991</v>
      </c>
      <c r="B10" s="25">
        <v>66616745.5</v>
      </c>
      <c r="C10" s="36">
        <f t="shared" ref="C10:G26" si="0">B10/B9-1</f>
        <v>7.1467633000762643E-2</v>
      </c>
      <c r="D10" s="25">
        <v>36006364.75</v>
      </c>
      <c r="E10" s="36">
        <f t="shared" si="0"/>
        <v>-3.4679203148650029E-2</v>
      </c>
      <c r="F10" s="25">
        <v>25623417.969999999</v>
      </c>
      <c r="G10" s="36">
        <f t="shared" si="0"/>
        <v>0.26583679210937738</v>
      </c>
    </row>
    <row r="11" spans="1:7">
      <c r="A11" s="3">
        <v>1992</v>
      </c>
      <c r="B11" s="25">
        <v>71964877.75</v>
      </c>
      <c r="C11" s="36">
        <f t="shared" si="0"/>
        <v>8.0282100391710021E-2</v>
      </c>
      <c r="D11" s="25">
        <v>43302937.549999997</v>
      </c>
      <c r="E11" s="36">
        <f t="shared" si="0"/>
        <v>0.20264675011381139</v>
      </c>
      <c r="F11" s="25">
        <v>27698725.219999999</v>
      </c>
      <c r="G11" s="36">
        <f t="shared" si="0"/>
        <v>8.0992600301403206E-2</v>
      </c>
    </row>
    <row r="12" spans="1:7">
      <c r="A12" s="3">
        <v>1993</v>
      </c>
      <c r="B12" s="25">
        <v>76008379.950000003</v>
      </c>
      <c r="C12" s="36">
        <f t="shared" si="0"/>
        <v>5.6187161382345252E-2</v>
      </c>
      <c r="D12" s="25">
        <v>43296272.649999999</v>
      </c>
      <c r="E12" s="36">
        <f t="shared" si="0"/>
        <v>-1.5391334577019578E-4</v>
      </c>
      <c r="F12" s="25">
        <v>24795963.309999999</v>
      </c>
      <c r="G12" s="36">
        <f t="shared" si="0"/>
        <v>-0.10479767162367626</v>
      </c>
    </row>
    <row r="13" spans="1:7">
      <c r="A13" s="3">
        <v>1994</v>
      </c>
      <c r="B13" s="25">
        <v>83596970.950000003</v>
      </c>
      <c r="C13" s="36">
        <f t="shared" si="0"/>
        <v>9.9838873095202674E-2</v>
      </c>
      <c r="D13" s="25">
        <v>59702705.799999997</v>
      </c>
      <c r="E13" s="36">
        <f t="shared" si="0"/>
        <v>0.37893407782759803</v>
      </c>
      <c r="F13" s="25">
        <v>26849634.120000001</v>
      </c>
      <c r="G13" s="36">
        <f t="shared" si="0"/>
        <v>8.2822787899987427E-2</v>
      </c>
    </row>
    <row r="14" spans="1:7">
      <c r="A14" s="3">
        <v>1995</v>
      </c>
      <c r="B14" s="25">
        <v>86509399.450000003</v>
      </c>
      <c r="C14" s="36">
        <f t="shared" si="0"/>
        <v>3.4838923789977327E-2</v>
      </c>
      <c r="D14" s="25">
        <v>69000786.379999995</v>
      </c>
      <c r="E14" s="36">
        <f t="shared" si="0"/>
        <v>0.15573968474976563</v>
      </c>
      <c r="F14" s="25">
        <v>24494291.66</v>
      </c>
      <c r="G14" s="36">
        <f t="shared" si="0"/>
        <v>-8.7723447160329537E-2</v>
      </c>
    </row>
    <row r="15" spans="1:7">
      <c r="A15" s="3">
        <v>1996</v>
      </c>
      <c r="B15" s="25">
        <v>93601013.060000002</v>
      </c>
      <c r="C15" s="36">
        <f t="shared" si="0"/>
        <v>8.197506461825288E-2</v>
      </c>
      <c r="D15" s="25">
        <v>70753592.299999997</v>
      </c>
      <c r="E15" s="36">
        <f t="shared" si="0"/>
        <v>2.5402694838098983E-2</v>
      </c>
      <c r="F15" s="25">
        <v>23729241.27</v>
      </c>
      <c r="G15" s="36">
        <f t="shared" si="0"/>
        <v>-3.1233823807583438E-2</v>
      </c>
    </row>
    <row r="16" spans="1:7">
      <c r="A16" s="3">
        <v>1997</v>
      </c>
      <c r="B16" s="25">
        <v>95046898.650000006</v>
      </c>
      <c r="C16" s="36">
        <f t="shared" si="0"/>
        <v>1.5447328428733531E-2</v>
      </c>
      <c r="D16" s="25">
        <v>74219418.340000004</v>
      </c>
      <c r="E16" s="36">
        <f t="shared" si="0"/>
        <v>4.8984453330718214E-2</v>
      </c>
      <c r="F16" s="25">
        <v>26687030.899999999</v>
      </c>
      <c r="G16" s="36">
        <f t="shared" si="0"/>
        <v>0.12464745907149677</v>
      </c>
    </row>
    <row r="17" spans="1:7">
      <c r="A17" s="3">
        <v>1998</v>
      </c>
      <c r="B17" s="25">
        <v>102164064.45</v>
      </c>
      <c r="C17" s="36">
        <f>B17/B16-1</f>
        <v>7.4880568446616946E-2</v>
      </c>
      <c r="D17" s="25">
        <v>86008162.25</v>
      </c>
      <c r="E17" s="36">
        <f t="shared" si="0"/>
        <v>0.15883638236014774</v>
      </c>
      <c r="F17" s="25">
        <v>34316489.369999997</v>
      </c>
      <c r="G17" s="36">
        <f t="shared" si="0"/>
        <v>0.28588637299475672</v>
      </c>
    </row>
    <row r="18" spans="1:7">
      <c r="A18" s="3">
        <v>1999</v>
      </c>
      <c r="B18" s="25">
        <v>114040241.45</v>
      </c>
      <c r="C18" s="36">
        <f t="shared" si="0"/>
        <v>0.11624612885103369</v>
      </c>
      <c r="D18" s="25">
        <v>106360476.58</v>
      </c>
      <c r="E18" s="36">
        <f t="shared" si="0"/>
        <v>0.23663235904101643</v>
      </c>
      <c r="F18" s="25">
        <v>30315934.600000001</v>
      </c>
      <c r="G18" s="36">
        <f t="shared" si="0"/>
        <v>-0.11657820608821778</v>
      </c>
    </row>
    <row r="19" spans="1:7">
      <c r="A19" s="3">
        <v>2000</v>
      </c>
      <c r="B19" s="25">
        <v>108229813.8</v>
      </c>
      <c r="C19" s="36">
        <f t="shared" si="0"/>
        <v>-5.0950678252882686E-2</v>
      </c>
      <c r="D19" s="25">
        <v>131122855.84999999</v>
      </c>
      <c r="E19" s="36">
        <f t="shared" si="0"/>
        <v>0.23281561033035381</v>
      </c>
      <c r="F19" s="25">
        <v>56779418.079999998</v>
      </c>
      <c r="G19" s="36">
        <f t="shared" si="0"/>
        <v>0.87292322764147912</v>
      </c>
    </row>
    <row r="20" spans="1:7">
      <c r="A20" s="3">
        <v>2001</v>
      </c>
      <c r="B20" s="25">
        <v>115754081.37</v>
      </c>
      <c r="C20" s="36">
        <f t="shared" si="0"/>
        <v>6.952120959853314E-2</v>
      </c>
      <c r="D20" s="25">
        <v>187829891.41</v>
      </c>
      <c r="E20" s="36">
        <f t="shared" si="0"/>
        <v>0.43247254792002776</v>
      </c>
      <c r="F20" s="25">
        <v>42893607.270000003</v>
      </c>
      <c r="G20" s="36">
        <f t="shared" si="0"/>
        <v>-0.24455711734198171</v>
      </c>
    </row>
    <row r="21" spans="1:7">
      <c r="A21" s="3">
        <v>2002</v>
      </c>
      <c r="B21" s="25">
        <v>118137043.09999999</v>
      </c>
      <c r="C21" s="36">
        <f t="shared" si="0"/>
        <v>2.0586416494317916E-2</v>
      </c>
      <c r="D21" s="25">
        <v>135709030.47999999</v>
      </c>
      <c r="E21" s="36">
        <f t="shared" si="0"/>
        <v>-0.27748970378856919</v>
      </c>
      <c r="F21" s="25">
        <v>58551631.810000002</v>
      </c>
      <c r="G21" s="36">
        <f t="shared" si="0"/>
        <v>0.36504331383085376</v>
      </c>
    </row>
    <row r="22" spans="1:7">
      <c r="A22" s="3">
        <v>2003</v>
      </c>
      <c r="B22" s="25">
        <v>118161894.25</v>
      </c>
      <c r="C22" s="36">
        <f t="shared" si="0"/>
        <v>2.1035865929852626E-4</v>
      </c>
      <c r="D22" s="25">
        <v>106395077.45999999</v>
      </c>
      <c r="E22" s="36">
        <f t="shared" si="0"/>
        <v>-0.21600591291763827</v>
      </c>
      <c r="F22" s="25">
        <v>74934232.560000002</v>
      </c>
      <c r="G22" s="36">
        <f t="shared" si="0"/>
        <v>0.27979750937021741</v>
      </c>
    </row>
    <row r="23" spans="1:7">
      <c r="A23" s="3">
        <v>2004</v>
      </c>
      <c r="B23" s="25">
        <v>117357575.84999999</v>
      </c>
      <c r="C23" s="36">
        <f t="shared" si="0"/>
        <v>-6.8069186357005984E-3</v>
      </c>
      <c r="D23" s="25">
        <v>123371679.39</v>
      </c>
      <c r="E23" s="36">
        <f t="shared" si="0"/>
        <v>0.1595619114651472</v>
      </c>
      <c r="F23" s="25">
        <v>35256206.060000002</v>
      </c>
      <c r="G23" s="36">
        <f t="shared" si="0"/>
        <v>-0.52950467555972791</v>
      </c>
    </row>
    <row r="24" spans="1:7">
      <c r="A24" s="3">
        <v>2005</v>
      </c>
      <c r="B24" s="25">
        <v>127329194.34</v>
      </c>
      <c r="C24" s="36">
        <f t="shared" si="0"/>
        <v>8.4967829454360766E-2</v>
      </c>
      <c r="D24" s="25">
        <v>137251705.37</v>
      </c>
      <c r="E24" s="36">
        <f t="shared" si="0"/>
        <v>0.11250577157276709</v>
      </c>
      <c r="F24" s="25">
        <v>37622721.829999998</v>
      </c>
      <c r="G24" s="36">
        <f t="shared" si="0"/>
        <v>6.712338151111874E-2</v>
      </c>
    </row>
    <row r="25" spans="1:7">
      <c r="A25" s="3">
        <v>2006</v>
      </c>
      <c r="B25" s="25">
        <v>138737266.59999999</v>
      </c>
      <c r="C25" s="36">
        <f t="shared" si="0"/>
        <v>8.959510282879557E-2</v>
      </c>
      <c r="D25" s="25">
        <v>163584998.62</v>
      </c>
      <c r="E25" s="36">
        <f t="shared" si="0"/>
        <v>0.1918613191654801</v>
      </c>
      <c r="F25" s="25">
        <v>33965778.530000001</v>
      </c>
      <c r="G25" s="36">
        <f t="shared" si="0"/>
        <v>-9.7200391734656111E-2</v>
      </c>
    </row>
    <row r="26" spans="1:7">
      <c r="A26" s="3">
        <v>2007</v>
      </c>
      <c r="B26" s="25">
        <v>154247327.78999999</v>
      </c>
      <c r="C26" s="36">
        <f t="shared" si="0"/>
        <v>0.11179448442441786</v>
      </c>
      <c r="D26" s="25">
        <v>209204468.02000001</v>
      </c>
      <c r="E26" s="36">
        <f t="shared" si="0"/>
        <v>0.27887318387899263</v>
      </c>
      <c r="F26" s="25">
        <v>41401202.509999998</v>
      </c>
      <c r="G26" s="36">
        <f t="shared" si="0"/>
        <v>0.21890927580042718</v>
      </c>
    </row>
    <row r="27" spans="1:7">
      <c r="A27" s="3">
        <v>2008</v>
      </c>
      <c r="B27" s="25">
        <v>161057669</v>
      </c>
      <c r="C27" s="36">
        <f t="shared" ref="C27:C37" si="1">B27/B26-1</f>
        <v>4.4152085534161944E-2</v>
      </c>
      <c r="D27" s="25">
        <v>219587377</v>
      </c>
      <c r="E27" s="36">
        <f t="shared" ref="E27:E34" si="2">D27/D26-1</f>
        <v>4.9630436090912555E-2</v>
      </c>
      <c r="F27" s="25">
        <v>48155868.950000003</v>
      </c>
      <c r="G27" s="36">
        <f t="shared" ref="G27:G37" si="3">F27/F26-1</f>
        <v>0.16315145528365971</v>
      </c>
    </row>
    <row r="28" spans="1:7">
      <c r="A28" s="3">
        <v>2009</v>
      </c>
      <c r="B28" s="25">
        <v>154567333.75</v>
      </c>
      <c r="C28" s="36">
        <f t="shared" si="1"/>
        <v>-4.0298206787035995E-2</v>
      </c>
      <c r="D28" s="25">
        <v>178113116.90000001</v>
      </c>
      <c r="E28" s="36">
        <f t="shared" si="2"/>
        <v>-0.18887360770286898</v>
      </c>
      <c r="F28" s="25">
        <v>44694510.020000003</v>
      </c>
      <c r="G28" s="36">
        <f t="shared" si="3"/>
        <v>-7.1878236349424252E-2</v>
      </c>
    </row>
    <row r="29" spans="1:7">
      <c r="A29" s="3">
        <v>2010</v>
      </c>
      <c r="B29" s="25">
        <v>155123297.27000001</v>
      </c>
      <c r="C29" s="36">
        <f t="shared" si="1"/>
        <v>3.5969017936172687E-3</v>
      </c>
      <c r="D29" s="25">
        <v>179156912.19999996</v>
      </c>
      <c r="E29" s="36">
        <f t="shared" si="2"/>
        <v>5.8602943913781402E-3</v>
      </c>
      <c r="F29" s="25">
        <v>26494511.649999999</v>
      </c>
      <c r="G29" s="36">
        <f t="shared" si="3"/>
        <v>-0.40720881293599209</v>
      </c>
    </row>
    <row r="30" spans="1:7">
      <c r="A30" s="3">
        <v>2011</v>
      </c>
      <c r="B30" s="25">
        <v>161275285.75</v>
      </c>
      <c r="C30" s="36">
        <f t="shared" si="1"/>
        <v>3.9658701099501092E-2</v>
      </c>
      <c r="D30" s="25">
        <v>167140171.73999998</v>
      </c>
      <c r="E30" s="36">
        <f t="shared" si="2"/>
        <v>-6.7073831048088284E-2</v>
      </c>
      <c r="F30" s="25">
        <v>59377933</v>
      </c>
      <c r="G30" s="36">
        <f t="shared" si="3"/>
        <v>1.2411408741704437</v>
      </c>
    </row>
    <row r="31" spans="1:7">
      <c r="A31" s="3">
        <v>2012</v>
      </c>
      <c r="B31" s="25">
        <v>158257409.76999998</v>
      </c>
      <c r="C31" s="36">
        <f t="shared" si="1"/>
        <v>-1.8712575618549332E-2</v>
      </c>
      <c r="D31" s="25">
        <v>137084714.59999999</v>
      </c>
      <c r="E31" s="36">
        <f t="shared" si="2"/>
        <v>-0.1798218634521549</v>
      </c>
      <c r="F31" s="25">
        <v>170144804.05000001</v>
      </c>
      <c r="G31" s="36">
        <f t="shared" si="3"/>
        <v>1.8654551523374856</v>
      </c>
    </row>
    <row r="32" spans="1:7">
      <c r="A32" s="3">
        <v>2013</v>
      </c>
      <c r="B32" s="25">
        <v>150329077.93000004</v>
      </c>
      <c r="C32" s="36">
        <f t="shared" si="1"/>
        <v>-5.0097697488682646E-2</v>
      </c>
      <c r="D32" s="25">
        <v>118078993.22000001</v>
      </c>
      <c r="E32" s="36">
        <f t="shared" si="2"/>
        <v>-0.13864216324523737</v>
      </c>
      <c r="F32" s="25">
        <v>36590552.420000002</v>
      </c>
      <c r="G32" s="36">
        <f t="shared" si="3"/>
        <v>-0.78494463804344428</v>
      </c>
    </row>
    <row r="33" spans="1:7">
      <c r="A33" s="3">
        <v>2014</v>
      </c>
      <c r="B33" s="25">
        <v>240726406.56000003</v>
      </c>
      <c r="C33" s="36">
        <f t="shared" si="1"/>
        <v>0.60132962880337137</v>
      </c>
      <c r="D33" s="25">
        <v>186111994</v>
      </c>
      <c r="E33" s="36">
        <f t="shared" si="2"/>
        <v>0.57616514948805198</v>
      </c>
      <c r="F33" s="25">
        <v>1299779</v>
      </c>
      <c r="G33" s="36">
        <f t="shared" si="3"/>
        <v>-0.96447774318680268</v>
      </c>
    </row>
    <row r="34" spans="1:7">
      <c r="A34" s="3">
        <v>2015</v>
      </c>
      <c r="B34" s="25">
        <v>226590970</v>
      </c>
      <c r="C34" s="36">
        <f t="shared" si="1"/>
        <v>-5.871992508838797E-2</v>
      </c>
      <c r="D34" s="25">
        <v>228050477</v>
      </c>
      <c r="E34" s="36">
        <f t="shared" si="2"/>
        <v>0.22534003370035349</v>
      </c>
      <c r="F34" s="25">
        <v>66601128</v>
      </c>
      <c r="G34" s="36">
        <f t="shared" si="3"/>
        <v>50.240347782199898</v>
      </c>
    </row>
    <row r="35" spans="1:7">
      <c r="A35" s="3">
        <v>2016</v>
      </c>
      <c r="B35" s="25">
        <v>225604109</v>
      </c>
      <c r="C35" s="36">
        <f t="shared" si="1"/>
        <v>-4.3552529917675331E-3</v>
      </c>
      <c r="D35" s="25">
        <v>252437229</v>
      </c>
      <c r="E35" s="36">
        <f>D35/D34-1</f>
        <v>0.10693576405016691</v>
      </c>
      <c r="F35" s="25">
        <v>2301490</v>
      </c>
      <c r="G35" s="36">
        <f t="shared" si="3"/>
        <v>-0.96544367837133327</v>
      </c>
    </row>
    <row r="36" spans="1:7">
      <c r="A36" s="3">
        <v>2017</v>
      </c>
      <c r="B36" s="25">
        <v>235971469.37</v>
      </c>
      <c r="C36" s="36">
        <f t="shared" si="1"/>
        <v>4.5953774583068485E-2</v>
      </c>
      <c r="D36" s="25">
        <v>246838957.95000002</v>
      </c>
      <c r="E36" s="36">
        <f>D36/D35-1</f>
        <v>-2.2176883624403843E-2</v>
      </c>
      <c r="F36" s="25">
        <v>1286597</v>
      </c>
      <c r="G36" s="36">
        <f t="shared" si="3"/>
        <v>-0.44097215282273661</v>
      </c>
    </row>
    <row r="37" spans="1:7">
      <c r="A37" s="3">
        <v>2018</v>
      </c>
      <c r="B37" s="25">
        <v>241246799</v>
      </c>
      <c r="C37" s="36">
        <f t="shared" si="1"/>
        <v>2.2355794300404908E-2</v>
      </c>
      <c r="D37" s="25">
        <v>270001672</v>
      </c>
      <c r="E37" s="36">
        <f>D37/D36-1</f>
        <v>9.3837351455242413E-2</v>
      </c>
      <c r="F37" s="25">
        <v>875878</v>
      </c>
      <c r="G37" s="36">
        <f t="shared" si="3"/>
        <v>-0.31922894270700153</v>
      </c>
    </row>
    <row r="38" spans="1:7">
      <c r="A38" s="3">
        <v>2019</v>
      </c>
      <c r="B38" s="25">
        <v>263710369</v>
      </c>
      <c r="C38" s="36">
        <f>B38/B37-1</f>
        <v>9.3114479002890382E-2</v>
      </c>
      <c r="D38" s="25">
        <v>262796295</v>
      </c>
      <c r="E38" s="36">
        <f>D38/D37-1</f>
        <v>-2.6686416223378084E-2</v>
      </c>
      <c r="F38" s="25">
        <v>1150727</v>
      </c>
      <c r="G38" s="36">
        <f>F38/F37-1</f>
        <v>0.31379826870865579</v>
      </c>
    </row>
    <row r="39" spans="1:7">
      <c r="A39" s="3">
        <v>2020</v>
      </c>
      <c r="B39" s="25">
        <v>271147617</v>
      </c>
      <c r="C39" s="36">
        <f>B39/B38-1</f>
        <v>2.8202334357205316E-2</v>
      </c>
      <c r="D39" s="25">
        <v>564974369</v>
      </c>
      <c r="E39" s="36">
        <f>D39/D38-1</f>
        <v>1.149856675110279</v>
      </c>
      <c r="F39" s="25">
        <v>574539</v>
      </c>
      <c r="G39" s="36">
        <f>F39/F38-1</f>
        <v>-0.50071650356687547</v>
      </c>
    </row>
    <row r="40" spans="1:7">
      <c r="B40" s="25"/>
      <c r="C40" s="36"/>
      <c r="D40" s="25"/>
      <c r="E40" s="36"/>
      <c r="F40" s="25"/>
      <c r="G40" s="36"/>
    </row>
    <row r="41" spans="1:7">
      <c r="A41" s="3" t="s">
        <v>79</v>
      </c>
      <c r="C41" s="36">
        <f>(B39/B9)^(1/30)-1</f>
        <v>5.0316160872351912E-2</v>
      </c>
      <c r="E41" s="36">
        <f>(D39/D9)^(1/30)-1</f>
        <v>9.4823315752367909E-2</v>
      </c>
      <c r="G41" s="36">
        <f>(F39/F9)^(1/30)-1</f>
        <v>-0.11195425254708347</v>
      </c>
    </row>
    <row r="42" spans="1:7">
      <c r="C42" s="36"/>
      <c r="E42" s="36"/>
      <c r="G42" s="36"/>
    </row>
    <row r="43" spans="1:7">
      <c r="A43" s="4" t="s">
        <v>330</v>
      </c>
    </row>
    <row r="44" spans="1:7">
      <c r="A44" s="3" t="s">
        <v>339</v>
      </c>
    </row>
    <row r="45" spans="1:7">
      <c r="A45" s="3" t="s">
        <v>304</v>
      </c>
    </row>
    <row r="47" spans="1:7">
      <c r="A47" s="4" t="s">
        <v>143</v>
      </c>
    </row>
    <row r="48" spans="1:7">
      <c r="A48" s="3" t="s">
        <v>153</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7C8751CE-55DD-43B3-874F-D3DD1A60E121}"/>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G48"/>
  <sheetViews>
    <sheetView zoomScaleNormal="100" workbookViewId="0">
      <selection activeCell="A4" sqref="A4"/>
    </sheetView>
  </sheetViews>
  <sheetFormatPr baseColWidth="10" defaultRowHeight="12.75"/>
  <cols>
    <col min="1" max="1" width="10.85546875" style="3" customWidth="1"/>
    <col min="2" max="2" width="13.140625" style="3" customWidth="1"/>
    <col min="3" max="3" width="8.85546875" style="3" customWidth="1"/>
    <col min="4" max="4" width="15.7109375" style="3" customWidth="1"/>
    <col min="5" max="5" width="8.85546875" style="3" customWidth="1"/>
    <col min="6" max="6" width="20.28515625" style="3" customWidth="1"/>
    <col min="7" max="7" width="8.42578125" style="3" customWidth="1"/>
    <col min="8" max="16384" width="11.42578125" style="3"/>
  </cols>
  <sheetData>
    <row r="1" spans="1:7" s="23" customFormat="1" ht="15.75">
      <c r="A1" s="23" t="s">
        <v>340</v>
      </c>
    </row>
    <row r="2" spans="1:7">
      <c r="A2" s="3" t="s">
        <v>263</v>
      </c>
    </row>
    <row r="4" spans="1:7">
      <c r="A4" s="40" t="s">
        <v>551</v>
      </c>
    </row>
    <row r="6" spans="1:7">
      <c r="A6" s="3" t="s">
        <v>548</v>
      </c>
    </row>
    <row r="8" spans="1:7">
      <c r="A8" s="24" t="s">
        <v>215</v>
      </c>
      <c r="B8" s="24" t="s">
        <v>2</v>
      </c>
      <c r="C8" s="24" t="s">
        <v>245</v>
      </c>
      <c r="D8" s="24" t="s">
        <v>341</v>
      </c>
      <c r="E8" s="24" t="s">
        <v>245</v>
      </c>
      <c r="F8" s="24" t="s">
        <v>57</v>
      </c>
      <c r="G8" s="24" t="s">
        <v>245</v>
      </c>
    </row>
    <row r="9" spans="1:7">
      <c r="A9" s="3">
        <v>1990</v>
      </c>
      <c r="B9" s="25">
        <v>10447050.85</v>
      </c>
      <c r="C9" s="36">
        <v>-0.27100000000000002</v>
      </c>
      <c r="D9" s="25">
        <v>7088320.2000000002</v>
      </c>
      <c r="E9" s="36">
        <v>0.13100000000000001</v>
      </c>
      <c r="F9" s="25">
        <v>67161158.980000004</v>
      </c>
      <c r="G9" s="36">
        <v>2.9000000000000001E-2</v>
      </c>
    </row>
    <row r="10" spans="1:7">
      <c r="A10" s="3">
        <v>1991</v>
      </c>
      <c r="B10" s="25">
        <v>14367691.550000001</v>
      </c>
      <c r="C10" s="36">
        <f t="shared" ref="C10:C26" si="0">B10/B9-1</f>
        <v>0.37528683992190981</v>
      </c>
      <c r="D10" s="25">
        <v>8077108.9000000004</v>
      </c>
      <c r="E10" s="36">
        <f t="shared" ref="E10:E26" si="1">D10/D9-1</f>
        <v>0.13949549005983108</v>
      </c>
      <c r="F10" s="25">
        <v>70844184.670000002</v>
      </c>
      <c r="G10" s="36">
        <f t="shared" ref="G10:G26" si="2">F10/F9-1</f>
        <v>5.4838626163327131E-2</v>
      </c>
    </row>
    <row r="11" spans="1:7">
      <c r="A11" s="3">
        <v>1992</v>
      </c>
      <c r="B11" s="25">
        <v>9455224.5</v>
      </c>
      <c r="C11" s="36">
        <f t="shared" si="0"/>
        <v>-0.34191067040272038</v>
      </c>
      <c r="D11" s="25">
        <v>8631204.5500000007</v>
      </c>
      <c r="E11" s="36">
        <f t="shared" si="1"/>
        <v>6.8600740297063423E-2</v>
      </c>
      <c r="F11" s="25">
        <v>73487023.189999998</v>
      </c>
      <c r="G11" s="36">
        <f t="shared" si="2"/>
        <v>3.730494651481453E-2</v>
      </c>
    </row>
    <row r="12" spans="1:7">
      <c r="A12" s="3">
        <v>1993</v>
      </c>
      <c r="B12" s="25">
        <v>7063145.5999999996</v>
      </c>
      <c r="C12" s="36">
        <f t="shared" si="0"/>
        <v>-0.25299017490277464</v>
      </c>
      <c r="D12" s="25">
        <v>8680744.6999999993</v>
      </c>
      <c r="E12" s="36">
        <f t="shared" si="1"/>
        <v>5.7396565813052636E-3</v>
      </c>
      <c r="F12" s="25">
        <v>75952986.299999997</v>
      </c>
      <c r="G12" s="36">
        <f t="shared" si="2"/>
        <v>3.3556443069197028E-2</v>
      </c>
    </row>
    <row r="13" spans="1:7">
      <c r="A13" s="3">
        <v>1994</v>
      </c>
      <c r="B13" s="25">
        <v>8759105.4399999995</v>
      </c>
      <c r="C13" s="36">
        <f t="shared" si="0"/>
        <v>0.24011395715812522</v>
      </c>
      <c r="D13" s="25">
        <v>8542365.8800000008</v>
      </c>
      <c r="E13" s="36">
        <f t="shared" si="1"/>
        <v>-1.5940892720874289E-2</v>
      </c>
      <c r="F13" s="25">
        <v>77914737.519999996</v>
      </c>
      <c r="G13" s="36">
        <f t="shared" si="2"/>
        <v>2.5828493592752855E-2</v>
      </c>
    </row>
    <row r="14" spans="1:7">
      <c r="A14" s="3">
        <v>1995</v>
      </c>
      <c r="B14" s="25">
        <v>9661714.25</v>
      </c>
      <c r="C14" s="36">
        <f t="shared" si="0"/>
        <v>0.10304805852411336</v>
      </c>
      <c r="D14" s="25">
        <v>8531395.5</v>
      </c>
      <c r="E14" s="36">
        <f t="shared" si="1"/>
        <v>-1.284232044624245E-3</v>
      </c>
      <c r="F14" s="25">
        <v>77490094.879999995</v>
      </c>
      <c r="G14" s="36">
        <f t="shared" si="2"/>
        <v>-5.4500939554728012E-3</v>
      </c>
    </row>
    <row r="15" spans="1:7">
      <c r="A15" s="3">
        <v>1996</v>
      </c>
      <c r="B15" s="25">
        <v>12703324.5</v>
      </c>
      <c r="C15" s="36">
        <f t="shared" si="0"/>
        <v>0.31481061965789348</v>
      </c>
      <c r="D15" s="25">
        <v>8745793.4499999993</v>
      </c>
      <c r="E15" s="36">
        <f t="shared" si="1"/>
        <v>2.5130466639367466E-2</v>
      </c>
      <c r="F15" s="25">
        <v>80481173.099999994</v>
      </c>
      <c r="G15" s="36">
        <f t="shared" si="2"/>
        <v>3.8599491001165109E-2</v>
      </c>
    </row>
    <row r="16" spans="1:7">
      <c r="A16" s="3">
        <v>1997</v>
      </c>
      <c r="B16" s="25">
        <v>12905860.550000001</v>
      </c>
      <c r="C16" s="36">
        <f t="shared" si="0"/>
        <v>1.5943546903804728E-2</v>
      </c>
      <c r="D16" s="25">
        <v>8965410.1500000004</v>
      </c>
      <c r="E16" s="36">
        <f t="shared" si="1"/>
        <v>2.51111235653525E-2</v>
      </c>
      <c r="F16" s="25">
        <v>81887641.150000006</v>
      </c>
      <c r="G16" s="36">
        <f t="shared" si="2"/>
        <v>1.7475739925565392E-2</v>
      </c>
    </row>
    <row r="17" spans="1:7">
      <c r="A17" s="3">
        <v>1998</v>
      </c>
      <c r="B17" s="25">
        <v>10765093.199999999</v>
      </c>
      <c r="C17" s="36">
        <f t="shared" si="0"/>
        <v>-0.16587559905100646</v>
      </c>
      <c r="D17" s="25">
        <v>9417047.3000000007</v>
      </c>
      <c r="E17" s="36">
        <f t="shared" si="1"/>
        <v>5.0375514610449867E-2</v>
      </c>
      <c r="F17" s="25">
        <v>86504541.150000006</v>
      </c>
      <c r="G17" s="36">
        <f t="shared" si="2"/>
        <v>5.6380913348607287E-2</v>
      </c>
    </row>
    <row r="18" spans="1:7">
      <c r="A18" s="3">
        <v>1999</v>
      </c>
      <c r="B18" s="25">
        <v>18575465.550000001</v>
      </c>
      <c r="C18" s="36">
        <f t="shared" si="0"/>
        <v>0.72552761085245421</v>
      </c>
      <c r="D18" s="25">
        <v>10782769.5</v>
      </c>
      <c r="E18" s="36">
        <f t="shared" si="1"/>
        <v>0.14502658386350031</v>
      </c>
      <c r="F18" s="25">
        <v>88840979.230000004</v>
      </c>
      <c r="G18" s="36">
        <f t="shared" si="2"/>
        <v>2.7009426891804189E-2</v>
      </c>
    </row>
    <row r="19" spans="1:7">
      <c r="A19" s="3">
        <v>2000</v>
      </c>
      <c r="B19" s="25">
        <v>21200311.300000001</v>
      </c>
      <c r="C19" s="36">
        <f t="shared" si="0"/>
        <v>0.14130713133055228</v>
      </c>
      <c r="D19" s="25">
        <v>12015604.1</v>
      </c>
      <c r="E19" s="36">
        <f t="shared" si="1"/>
        <v>0.11433376184105581</v>
      </c>
      <c r="F19" s="25">
        <v>90794027.719999999</v>
      </c>
      <c r="G19" s="36">
        <f t="shared" si="2"/>
        <v>2.1983644337640218E-2</v>
      </c>
    </row>
    <row r="20" spans="1:7">
      <c r="A20" s="3">
        <v>2001</v>
      </c>
      <c r="B20" s="25">
        <v>18965191.800000001</v>
      </c>
      <c r="C20" s="36">
        <f t="shared" si="0"/>
        <v>-0.10542861698450623</v>
      </c>
      <c r="D20" s="25">
        <v>13753498.550000001</v>
      </c>
      <c r="E20" s="36">
        <f t="shared" si="1"/>
        <v>0.14463646068365388</v>
      </c>
      <c r="F20" s="25">
        <v>90269623.019999996</v>
      </c>
      <c r="G20" s="36">
        <f t="shared" si="2"/>
        <v>-5.7757620536145193E-3</v>
      </c>
    </row>
    <row r="21" spans="1:7">
      <c r="A21" s="3">
        <v>2002</v>
      </c>
      <c r="B21" s="25">
        <v>22333797.550000001</v>
      </c>
      <c r="C21" s="36">
        <f t="shared" si="0"/>
        <v>0.17762044199310445</v>
      </c>
      <c r="D21" s="25">
        <v>15540655.4</v>
      </c>
      <c r="E21" s="36">
        <f t="shared" si="1"/>
        <v>0.12994198119866751</v>
      </c>
      <c r="F21" s="25">
        <v>88555722.870000005</v>
      </c>
      <c r="G21" s="36">
        <f t="shared" si="2"/>
        <v>-1.898645516244446E-2</v>
      </c>
    </row>
    <row r="22" spans="1:7">
      <c r="A22" s="3">
        <v>2003</v>
      </c>
      <c r="B22" s="25">
        <v>13353076.199999999</v>
      </c>
      <c r="C22" s="36">
        <f t="shared" si="0"/>
        <v>-0.40211349323348733</v>
      </c>
      <c r="D22" s="25">
        <v>16226694.800000001</v>
      </c>
      <c r="E22" s="36">
        <f t="shared" si="1"/>
        <v>4.4144817727571617E-2</v>
      </c>
      <c r="F22" s="25">
        <v>87477293.159999996</v>
      </c>
      <c r="G22" s="36">
        <f t="shared" si="2"/>
        <v>-1.2177978735300354E-2</v>
      </c>
    </row>
    <row r="23" spans="1:7">
      <c r="A23" s="3">
        <v>2004</v>
      </c>
      <c r="B23" s="25">
        <v>16150419.15</v>
      </c>
      <c r="C23" s="36">
        <f t="shared" si="0"/>
        <v>0.20949052548655422</v>
      </c>
      <c r="D23" s="25">
        <v>16436581.449999999</v>
      </c>
      <c r="E23" s="36">
        <f t="shared" si="1"/>
        <v>1.2934651978540934E-2</v>
      </c>
      <c r="F23" s="25">
        <v>85910266.700000003</v>
      </c>
      <c r="G23" s="36">
        <f t="shared" si="2"/>
        <v>-1.7913522508450574E-2</v>
      </c>
    </row>
    <row r="24" spans="1:7">
      <c r="A24" s="3">
        <v>2005</v>
      </c>
      <c r="B24" s="25">
        <v>14465581.5</v>
      </c>
      <c r="C24" s="36">
        <f t="shared" si="0"/>
        <v>-0.10432160517642042</v>
      </c>
      <c r="D24" s="25">
        <v>16739838.550000001</v>
      </c>
      <c r="E24" s="36">
        <f t="shared" si="1"/>
        <v>1.845013215932445E-2</v>
      </c>
      <c r="F24" s="25">
        <v>93837832.049999997</v>
      </c>
      <c r="G24" s="36">
        <f t="shared" si="2"/>
        <v>9.2277275516827073E-2</v>
      </c>
    </row>
    <row r="25" spans="1:7">
      <c r="A25" s="3">
        <v>2006</v>
      </c>
      <c r="B25" s="25">
        <v>15347046.120000001</v>
      </c>
      <c r="C25" s="36">
        <f t="shared" si="0"/>
        <v>6.0935304951273528E-2</v>
      </c>
      <c r="D25" s="25">
        <v>17251758.050000001</v>
      </c>
      <c r="E25" s="36">
        <f t="shared" si="1"/>
        <v>3.0580910232255398E-2</v>
      </c>
      <c r="F25" s="25">
        <v>97611952.640000001</v>
      </c>
      <c r="G25" s="36">
        <f t="shared" si="2"/>
        <v>4.0219605542346937E-2</v>
      </c>
    </row>
    <row r="26" spans="1:7">
      <c r="A26" s="3">
        <v>2007</v>
      </c>
      <c r="B26" s="25">
        <v>15756925.59</v>
      </c>
      <c r="C26" s="36">
        <f t="shared" si="0"/>
        <v>2.6707385043031273E-2</v>
      </c>
      <c r="D26" s="25">
        <v>18347779.149999999</v>
      </c>
      <c r="E26" s="36">
        <f t="shared" si="1"/>
        <v>6.3530980252763047E-2</v>
      </c>
      <c r="F26" s="25">
        <v>89659038.069999993</v>
      </c>
      <c r="G26" s="36">
        <f t="shared" si="2"/>
        <v>-8.1474802571883109E-2</v>
      </c>
    </row>
    <row r="27" spans="1:7">
      <c r="A27" s="3">
        <v>2008</v>
      </c>
      <c r="B27" s="25">
        <v>17478210</v>
      </c>
      <c r="C27" s="36">
        <f t="shared" ref="C27:C34" si="3">B27/B26-1</f>
        <v>0.10923986409457931</v>
      </c>
      <c r="D27" s="25">
        <v>19254022.899999999</v>
      </c>
      <c r="E27" s="36">
        <f t="shared" ref="E27:E39" si="4">D27/D26-1</f>
        <v>4.9392558226863059E-2</v>
      </c>
      <c r="F27" s="25">
        <v>89328248.150000006</v>
      </c>
      <c r="G27" s="36">
        <f t="shared" ref="G27:G39" si="5">F27/F26-1</f>
        <v>-3.6894208004074613E-3</v>
      </c>
    </row>
    <row r="28" spans="1:7">
      <c r="A28" s="3">
        <v>2009</v>
      </c>
      <c r="B28" s="25">
        <v>17735561.059999999</v>
      </c>
      <c r="C28" s="36">
        <f t="shared" si="3"/>
        <v>1.4724108475639097E-2</v>
      </c>
      <c r="D28" s="25">
        <v>20310319.100000001</v>
      </c>
      <c r="E28" s="36">
        <f t="shared" si="4"/>
        <v>5.4861064905038726E-2</v>
      </c>
      <c r="F28" s="25">
        <v>79243807.620000005</v>
      </c>
      <c r="G28" s="36">
        <f t="shared" si="5"/>
        <v>-0.11289195454797463</v>
      </c>
    </row>
    <row r="29" spans="1:7">
      <c r="A29" s="3">
        <v>2010</v>
      </c>
      <c r="B29" s="25">
        <v>12983382.350000001</v>
      </c>
      <c r="C29" s="36">
        <f t="shared" si="3"/>
        <v>-0.26794634203695145</v>
      </c>
      <c r="D29" s="25">
        <v>20099911.649999999</v>
      </c>
      <c r="E29" s="36">
        <f t="shared" si="4"/>
        <v>-1.0359632902074978E-2</v>
      </c>
      <c r="F29" s="25">
        <v>67367945.849999994</v>
      </c>
      <c r="G29" s="36">
        <f t="shared" si="5"/>
        <v>-0.14986485539600336</v>
      </c>
    </row>
    <row r="30" spans="1:7">
      <c r="A30" s="3">
        <v>2011</v>
      </c>
      <c r="B30" s="25">
        <v>17574015.699999999</v>
      </c>
      <c r="C30" s="36">
        <f t="shared" si="3"/>
        <v>0.35357761377180719</v>
      </c>
      <c r="D30" s="25">
        <v>19908800.75</v>
      </c>
      <c r="E30" s="36">
        <f t="shared" si="4"/>
        <v>-9.5080467679566905E-3</v>
      </c>
      <c r="F30" s="25">
        <v>65462749.670000002</v>
      </c>
      <c r="G30" s="36">
        <f t="shared" si="5"/>
        <v>-2.8280455281241013E-2</v>
      </c>
    </row>
    <row r="31" spans="1:7">
      <c r="A31" s="3">
        <v>2012</v>
      </c>
      <c r="B31" s="25">
        <v>14854599.850000001</v>
      </c>
      <c r="C31" s="36">
        <f t="shared" si="3"/>
        <v>-0.15474072041485643</v>
      </c>
      <c r="D31" s="25">
        <v>23715924.049999997</v>
      </c>
      <c r="E31" s="36">
        <f t="shared" si="4"/>
        <v>0.1912281582304749</v>
      </c>
      <c r="F31" s="25">
        <v>63187309.719999999</v>
      </c>
      <c r="G31" s="36">
        <f t="shared" si="5"/>
        <v>-3.4759309095181212E-2</v>
      </c>
    </row>
    <row r="32" spans="1:7">
      <c r="A32" s="3">
        <v>2013</v>
      </c>
      <c r="B32" s="25">
        <v>18778981.550000001</v>
      </c>
      <c r="C32" s="36">
        <f t="shared" si="3"/>
        <v>0.26418629512931635</v>
      </c>
      <c r="D32" s="25">
        <v>26390511.75</v>
      </c>
      <c r="E32" s="36">
        <f t="shared" si="4"/>
        <v>0.11277602737979775</v>
      </c>
      <c r="F32" s="25">
        <v>46231063.299999997</v>
      </c>
      <c r="G32" s="36">
        <f t="shared" si="5"/>
        <v>-0.268348921565702</v>
      </c>
    </row>
    <row r="33" spans="1:7">
      <c r="A33" s="3">
        <v>2014</v>
      </c>
      <c r="B33" s="25">
        <v>26636566</v>
      </c>
      <c r="C33" s="36">
        <f t="shared" si="3"/>
        <v>0.41842441929445306</v>
      </c>
      <c r="D33" s="25">
        <v>26464650.050000001</v>
      </c>
      <c r="E33" s="36">
        <f t="shared" si="4"/>
        <v>2.8092786037012818E-3</v>
      </c>
      <c r="F33" s="25">
        <v>6899478</v>
      </c>
      <c r="G33" s="36">
        <f t="shared" si="5"/>
        <v>-0.85076099255541027</v>
      </c>
    </row>
    <row r="34" spans="1:7">
      <c r="A34" s="3">
        <v>2015</v>
      </c>
      <c r="B34" s="25">
        <v>18377139</v>
      </c>
      <c r="C34" s="36">
        <f t="shared" si="3"/>
        <v>-0.31007852138297409</v>
      </c>
      <c r="D34" s="25">
        <v>27178314</v>
      </c>
      <c r="E34" s="36">
        <f t="shared" si="4"/>
        <v>2.6966687587089311E-2</v>
      </c>
      <c r="F34" s="25">
        <v>2464519</v>
      </c>
      <c r="G34" s="36">
        <f t="shared" si="5"/>
        <v>-0.64279631009766247</v>
      </c>
    </row>
    <row r="35" spans="1:7">
      <c r="A35" s="3">
        <v>2016</v>
      </c>
      <c r="B35" s="25">
        <v>19169775</v>
      </c>
      <c r="C35" s="36">
        <f>B35/B34-1</f>
        <v>4.3131632187142888E-2</v>
      </c>
      <c r="D35" s="25">
        <v>27948971</v>
      </c>
      <c r="E35" s="36">
        <f t="shared" si="4"/>
        <v>2.8355585265517291E-2</v>
      </c>
      <c r="F35" s="25">
        <v>148500</v>
      </c>
      <c r="G35" s="36">
        <f t="shared" si="5"/>
        <v>-0.93974483459044134</v>
      </c>
    </row>
    <row r="36" spans="1:7">
      <c r="A36" s="3">
        <v>2017</v>
      </c>
      <c r="B36" s="25">
        <v>25737317</v>
      </c>
      <c r="C36" s="36">
        <f>B36/B35-1</f>
        <v>0.34259880462864056</v>
      </c>
      <c r="D36" s="25">
        <v>29569010</v>
      </c>
      <c r="E36" s="36">
        <f t="shared" si="4"/>
        <v>5.7964173350067094E-2</v>
      </c>
      <c r="F36" s="25">
        <v>109014</v>
      </c>
      <c r="G36" s="36">
        <f t="shared" si="5"/>
        <v>-0.26589898989898986</v>
      </c>
    </row>
    <row r="37" spans="1:7">
      <c r="A37" s="3">
        <v>2018</v>
      </c>
      <c r="B37" s="25">
        <v>32235477</v>
      </c>
      <c r="C37" s="36">
        <f>B37/B36-1</f>
        <v>0.25248008562819502</v>
      </c>
      <c r="D37" s="25">
        <v>31157929</v>
      </c>
      <c r="E37" s="36">
        <f t="shared" si="4"/>
        <v>5.3735955312673722E-2</v>
      </c>
      <c r="F37" s="25">
        <v>40350</v>
      </c>
      <c r="G37" s="36">
        <f t="shared" si="5"/>
        <v>-0.62986405415818147</v>
      </c>
    </row>
    <row r="38" spans="1:7">
      <c r="A38" s="3">
        <v>2019</v>
      </c>
      <c r="B38" s="25">
        <v>29774629</v>
      </c>
      <c r="C38" s="36">
        <f>B38/B37-1</f>
        <v>-7.6339742079820971E-2</v>
      </c>
      <c r="D38" s="25">
        <v>33854016</v>
      </c>
      <c r="E38" s="36">
        <f>D38/D37-1</f>
        <v>8.6529724103293182E-2</v>
      </c>
      <c r="F38" s="25">
        <v>34888</v>
      </c>
      <c r="G38" s="36">
        <f>F38/F37-1</f>
        <v>-0.13536555142503093</v>
      </c>
    </row>
    <row r="39" spans="1:7">
      <c r="A39" s="3">
        <v>2020</v>
      </c>
      <c r="B39" s="25">
        <v>30392717</v>
      </c>
      <c r="C39" s="36">
        <f>B39/B38-1</f>
        <v>2.0758881663983209E-2</v>
      </c>
      <c r="D39" s="25">
        <v>35968081</v>
      </c>
      <c r="E39" s="36">
        <f t="shared" si="4"/>
        <v>6.2446505608079184E-2</v>
      </c>
      <c r="F39" s="25">
        <v>18923</v>
      </c>
      <c r="G39" s="36">
        <f t="shared" si="5"/>
        <v>-0.45760720018344414</v>
      </c>
    </row>
    <row r="40" spans="1:7">
      <c r="B40" s="25"/>
      <c r="C40" s="36"/>
      <c r="D40" s="25"/>
      <c r="E40" s="36"/>
      <c r="F40" s="25"/>
      <c r="G40" s="36"/>
    </row>
    <row r="41" spans="1:7">
      <c r="A41" s="3" t="s">
        <v>79</v>
      </c>
      <c r="C41" s="36">
        <f>(B39/B9)^(1/30)-1</f>
        <v>3.6237235552881497E-2</v>
      </c>
      <c r="E41" s="36">
        <f>(D39/D9)^(1/30)-1</f>
        <v>5.5631800416096056E-2</v>
      </c>
      <c r="G41" s="36">
        <f>(F39/F9)^(1/30)-1</f>
        <v>-0.23851317523746751</v>
      </c>
    </row>
    <row r="42" spans="1:7">
      <c r="C42" s="36"/>
      <c r="E42" s="36"/>
      <c r="G42" s="36"/>
    </row>
    <row r="43" spans="1:7">
      <c r="A43" s="4" t="s">
        <v>330</v>
      </c>
    </row>
    <row r="44" spans="1:7">
      <c r="A44" s="3" t="s">
        <v>339</v>
      </c>
    </row>
    <row r="45" spans="1:7">
      <c r="A45" s="3" t="s">
        <v>342</v>
      </c>
    </row>
    <row r="47" spans="1:7">
      <c r="A47" s="4" t="s">
        <v>143</v>
      </c>
    </row>
    <row r="48" spans="1:7">
      <c r="A48" s="3" t="s">
        <v>153</v>
      </c>
    </row>
  </sheetData>
  <customSheetViews>
    <customSheetView guid="{9E4C61FA-E6D1-438A-8921-8C22C886D6BA}" showRuler="0">
      <selection activeCell="A6" sqref="A6"/>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B373D6A7-E89A-4C7B-A123-227CB160D7DF}"/>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G48"/>
  <sheetViews>
    <sheetView zoomScaleNormal="100" workbookViewId="0">
      <selection activeCell="A4" sqref="A4"/>
    </sheetView>
  </sheetViews>
  <sheetFormatPr baseColWidth="10" defaultRowHeight="12.75"/>
  <cols>
    <col min="1" max="1" width="11.140625" style="3" customWidth="1"/>
    <col min="2" max="2" width="15.7109375" style="3" customWidth="1"/>
    <col min="3" max="3" width="8" style="3" customWidth="1"/>
    <col min="4" max="4" width="18.28515625" style="3" customWidth="1"/>
    <col min="5" max="5" width="8.42578125" style="3" customWidth="1"/>
    <col min="6" max="6" width="15.7109375" style="3" customWidth="1"/>
    <col min="7" max="7" width="8.42578125" style="3" customWidth="1"/>
    <col min="8" max="16384" width="11.42578125" style="3"/>
  </cols>
  <sheetData>
    <row r="1" spans="1:7" s="23" customFormat="1" ht="15.75">
      <c r="A1" s="23" t="s">
        <v>279</v>
      </c>
    </row>
    <row r="2" spans="1:7">
      <c r="A2" s="3" t="s">
        <v>263</v>
      </c>
      <c r="G2" s="3" t="s">
        <v>301</v>
      </c>
    </row>
    <row r="4" spans="1:7">
      <c r="A4" s="40" t="s">
        <v>551</v>
      </c>
    </row>
    <row r="6" spans="1:7">
      <c r="A6" s="3" t="s">
        <v>549</v>
      </c>
    </row>
    <row r="8" spans="1:7">
      <c r="A8" s="24" t="s">
        <v>215</v>
      </c>
      <c r="B8" s="24" t="s">
        <v>60</v>
      </c>
      <c r="C8" s="24" t="s">
        <v>245</v>
      </c>
      <c r="D8" s="24" t="s">
        <v>3</v>
      </c>
      <c r="E8" s="24" t="s">
        <v>245</v>
      </c>
      <c r="F8" s="24" t="s">
        <v>4</v>
      </c>
      <c r="G8" s="24" t="s">
        <v>245</v>
      </c>
    </row>
    <row r="9" spans="1:7">
      <c r="A9" s="3">
        <v>1990</v>
      </c>
      <c r="B9" s="30">
        <v>1231367.5</v>
      </c>
      <c r="C9" s="26">
        <v>-0.74329746671649366</v>
      </c>
      <c r="D9" s="2" t="s">
        <v>85</v>
      </c>
      <c r="E9" s="2" t="s">
        <v>89</v>
      </c>
      <c r="F9" s="30">
        <v>21667114.140000001</v>
      </c>
      <c r="G9" s="26">
        <v>-0.23624983346169381</v>
      </c>
    </row>
    <row r="10" spans="1:7">
      <c r="A10" s="3">
        <v>1991</v>
      </c>
      <c r="B10" s="30">
        <v>3428961.15</v>
      </c>
      <c r="C10" s="26">
        <f t="shared" ref="C10:C26" si="0">B10/B9-1</f>
        <v>1.7846773201339161</v>
      </c>
      <c r="D10" s="30" t="s">
        <v>85</v>
      </c>
      <c r="E10" s="26" t="s">
        <v>89</v>
      </c>
      <c r="F10" s="30">
        <v>17574877.100000001</v>
      </c>
      <c r="G10" s="26">
        <f t="shared" ref="G10:G26" si="1">F10/F9-1</f>
        <v>-0.18886857813912816</v>
      </c>
    </row>
    <row r="11" spans="1:7">
      <c r="A11" s="3">
        <v>1992</v>
      </c>
      <c r="B11" s="30">
        <v>3268446.65</v>
      </c>
      <c r="C11" s="26">
        <f t="shared" si="0"/>
        <v>-4.6811408172413915E-2</v>
      </c>
      <c r="D11" s="30" t="s">
        <v>85</v>
      </c>
      <c r="E11" s="26" t="s">
        <v>89</v>
      </c>
      <c r="F11" s="30">
        <v>20750004.899999999</v>
      </c>
      <c r="G11" s="26">
        <f t="shared" si="1"/>
        <v>0.18066287359699351</v>
      </c>
    </row>
    <row r="12" spans="1:7">
      <c r="A12" s="3">
        <v>1993</v>
      </c>
      <c r="B12" s="30">
        <v>3602592.85</v>
      </c>
      <c r="C12" s="26">
        <f t="shared" si="0"/>
        <v>0.10223394651401163</v>
      </c>
      <c r="D12" s="30" t="s">
        <v>85</v>
      </c>
      <c r="E12" s="26" t="s">
        <v>89</v>
      </c>
      <c r="F12" s="30">
        <v>29412384.199999999</v>
      </c>
      <c r="G12" s="26">
        <f t="shared" si="1"/>
        <v>0.41746396406875075</v>
      </c>
    </row>
    <row r="13" spans="1:7">
      <c r="A13" s="3">
        <v>1994</v>
      </c>
      <c r="B13" s="30">
        <v>1901875</v>
      </c>
      <c r="C13" s="26" t="s">
        <v>89</v>
      </c>
      <c r="D13" s="30">
        <v>690422.8</v>
      </c>
      <c r="E13" s="26" t="s">
        <v>89</v>
      </c>
      <c r="F13" s="30">
        <v>24153790.02</v>
      </c>
      <c r="G13" s="26">
        <f t="shared" si="1"/>
        <v>-0.17878843633492314</v>
      </c>
    </row>
    <row r="14" spans="1:7">
      <c r="A14" s="3">
        <v>1995</v>
      </c>
      <c r="B14" s="30">
        <v>551691.85</v>
      </c>
      <c r="C14" s="26">
        <f t="shared" si="0"/>
        <v>-0.70992212947748934</v>
      </c>
      <c r="D14" s="30">
        <v>269067.8</v>
      </c>
      <c r="E14" s="26">
        <f t="shared" ref="E14:E26" si="2">D14/D13-1</f>
        <v>-0.61028546565959296</v>
      </c>
      <c r="F14" s="30">
        <v>19983853.82</v>
      </c>
      <c r="G14" s="26">
        <f t="shared" si="1"/>
        <v>-0.17264107192068734</v>
      </c>
    </row>
    <row r="15" spans="1:7">
      <c r="A15" s="3">
        <v>1996</v>
      </c>
      <c r="B15" s="30">
        <v>3838252.05</v>
      </c>
      <c r="C15" s="26">
        <f t="shared" si="0"/>
        <v>5.9572389912955934</v>
      </c>
      <c r="D15" s="30">
        <v>862173</v>
      </c>
      <c r="E15" s="26">
        <f t="shared" si="2"/>
        <v>2.2042964635679185</v>
      </c>
      <c r="F15" s="30">
        <v>26310243.48</v>
      </c>
      <c r="G15" s="26">
        <f t="shared" si="1"/>
        <v>0.3165750568926049</v>
      </c>
    </row>
    <row r="16" spans="1:7">
      <c r="A16" s="3">
        <v>1997</v>
      </c>
      <c r="B16" s="30">
        <v>5899893.7000000002</v>
      </c>
      <c r="C16" s="26">
        <f t="shared" si="0"/>
        <v>0.53713034556967165</v>
      </c>
      <c r="D16" s="30">
        <v>547436.19999999995</v>
      </c>
      <c r="E16" s="26">
        <f t="shared" si="2"/>
        <v>-0.36505063368952639</v>
      </c>
      <c r="F16" s="30">
        <v>35463302.140000001</v>
      </c>
      <c r="G16" s="26">
        <f t="shared" si="1"/>
        <v>0.34788954602255173</v>
      </c>
    </row>
    <row r="17" spans="1:7">
      <c r="A17" s="3">
        <v>1998</v>
      </c>
      <c r="B17" s="30">
        <v>7697778.2999999998</v>
      </c>
      <c r="C17" s="26">
        <f t="shared" si="0"/>
        <v>0.30473169372526154</v>
      </c>
      <c r="D17" s="30">
        <v>2692609.15</v>
      </c>
      <c r="E17" s="26">
        <f t="shared" si="2"/>
        <v>3.9185807405502233</v>
      </c>
      <c r="F17" s="30">
        <v>53894337.590000004</v>
      </c>
      <c r="G17" s="26">
        <f t="shared" si="1"/>
        <v>0.51972135525448282</v>
      </c>
    </row>
    <row r="18" spans="1:7">
      <c r="A18" s="3">
        <v>1999</v>
      </c>
      <c r="B18" s="30">
        <v>2107832.4</v>
      </c>
      <c r="C18" s="26">
        <f t="shared" si="0"/>
        <v>-0.72617652550476808</v>
      </c>
      <c r="D18" s="30">
        <v>795983.15</v>
      </c>
      <c r="E18" s="26">
        <f t="shared" si="2"/>
        <v>-0.70438221603755591</v>
      </c>
      <c r="F18" s="30">
        <v>57330901.649999999</v>
      </c>
      <c r="G18" s="26">
        <f t="shared" si="1"/>
        <v>6.3764844576875257E-2</v>
      </c>
    </row>
    <row r="19" spans="1:7">
      <c r="A19" s="3">
        <v>2000</v>
      </c>
      <c r="B19" s="30">
        <v>2379801.2999999998</v>
      </c>
      <c r="C19" s="26">
        <f t="shared" si="0"/>
        <v>0.12902776330793664</v>
      </c>
      <c r="D19" s="30">
        <v>1267756.6499999999</v>
      </c>
      <c r="E19" s="26">
        <f t="shared" si="2"/>
        <v>0.59269282270610857</v>
      </c>
      <c r="F19" s="30">
        <v>106911313.7</v>
      </c>
      <c r="G19" s="26">
        <f t="shared" si="1"/>
        <v>0.86481130809147166</v>
      </c>
    </row>
    <row r="20" spans="1:7">
      <c r="A20" s="3">
        <v>2001</v>
      </c>
      <c r="B20" s="30">
        <v>1773368.11</v>
      </c>
      <c r="C20" s="26">
        <f t="shared" si="0"/>
        <v>-0.25482513603131474</v>
      </c>
      <c r="D20" s="30">
        <v>2172902.35</v>
      </c>
      <c r="E20" s="26">
        <f t="shared" si="2"/>
        <v>0.71397432622420109</v>
      </c>
      <c r="F20" s="30">
        <v>59843392.479999997</v>
      </c>
      <c r="G20" s="26">
        <f t="shared" si="1"/>
        <v>-0.44025201441332584</v>
      </c>
    </row>
    <row r="21" spans="1:7">
      <c r="A21" s="3">
        <v>2002</v>
      </c>
      <c r="B21" s="30">
        <v>13935209.4</v>
      </c>
      <c r="C21" s="26">
        <f t="shared" si="0"/>
        <v>6.858046686088203</v>
      </c>
      <c r="D21" s="30">
        <v>1090173.1000000001</v>
      </c>
      <c r="E21" s="26">
        <f t="shared" si="2"/>
        <v>-0.49828711814868254</v>
      </c>
      <c r="F21" s="30">
        <v>39609535.289999999</v>
      </c>
      <c r="G21" s="26">
        <f t="shared" si="1"/>
        <v>-0.3381134717047044</v>
      </c>
    </row>
    <row r="22" spans="1:7">
      <c r="A22" s="3">
        <v>2003</v>
      </c>
      <c r="B22" s="30">
        <v>1928828.76</v>
      </c>
      <c r="C22" s="26">
        <f t="shared" si="0"/>
        <v>-0.8615859507643997</v>
      </c>
      <c r="D22" s="30">
        <v>1147116.3999999999</v>
      </c>
      <c r="E22" s="26">
        <f t="shared" si="2"/>
        <v>5.2233264607244312E-2</v>
      </c>
      <c r="F22" s="30">
        <v>39039649.049999997</v>
      </c>
      <c r="G22" s="26">
        <f t="shared" si="1"/>
        <v>-1.4387602273735256E-2</v>
      </c>
    </row>
    <row r="23" spans="1:7">
      <c r="A23" s="3">
        <v>2004</v>
      </c>
      <c r="B23" s="30">
        <v>959611.15</v>
      </c>
      <c r="C23" s="26">
        <f t="shared" si="0"/>
        <v>-0.50249023142935711</v>
      </c>
      <c r="D23" s="30">
        <v>1358059.45</v>
      </c>
      <c r="E23" s="26">
        <f t="shared" si="2"/>
        <v>0.18388983890388122</v>
      </c>
      <c r="F23" s="30">
        <v>41646841.159999996</v>
      </c>
      <c r="G23" s="26">
        <f t="shared" si="1"/>
        <v>6.6783185132141876E-2</v>
      </c>
    </row>
    <row r="24" spans="1:7">
      <c r="A24" s="3">
        <v>2005</v>
      </c>
      <c r="B24" s="30">
        <v>7910276.0700000003</v>
      </c>
      <c r="C24" s="26">
        <f t="shared" si="0"/>
        <v>7.2432098355672512</v>
      </c>
      <c r="D24" s="30">
        <v>808195.1</v>
      </c>
      <c r="E24" s="26">
        <f t="shared" si="2"/>
        <v>-0.40488974911959852</v>
      </c>
      <c r="F24" s="30">
        <v>50276793.640000001</v>
      </c>
      <c r="G24" s="26">
        <f t="shared" si="1"/>
        <v>0.20721745610537923</v>
      </c>
    </row>
    <row r="25" spans="1:7">
      <c r="A25" s="3">
        <v>2006</v>
      </c>
      <c r="B25" s="30">
        <v>3013845.35</v>
      </c>
      <c r="C25" s="26">
        <f t="shared" si="0"/>
        <v>-0.61899618631135844</v>
      </c>
      <c r="D25" s="30">
        <v>3748206.4</v>
      </c>
      <c r="E25" s="26">
        <f t="shared" si="2"/>
        <v>3.6377494741059433</v>
      </c>
      <c r="F25" s="30">
        <v>65435585.519999996</v>
      </c>
      <c r="G25" s="26">
        <f t="shared" si="1"/>
        <v>0.30150673466853162</v>
      </c>
    </row>
    <row r="26" spans="1:7">
      <c r="A26" s="3">
        <v>2007</v>
      </c>
      <c r="B26" s="30">
        <v>4172234.2</v>
      </c>
      <c r="C26" s="26">
        <f t="shared" si="0"/>
        <v>0.38435576994685539</v>
      </c>
      <c r="D26" s="30">
        <v>2857236.35</v>
      </c>
      <c r="E26" s="26">
        <f t="shared" si="2"/>
        <v>-0.23770570638799393</v>
      </c>
      <c r="F26" s="30">
        <v>66680255.560000002</v>
      </c>
      <c r="G26" s="26">
        <f t="shared" si="1"/>
        <v>1.9021302095930448E-2</v>
      </c>
    </row>
    <row r="27" spans="1:7">
      <c r="A27" s="3">
        <v>2008</v>
      </c>
      <c r="B27" s="30">
        <v>9045496.1500000004</v>
      </c>
      <c r="C27" s="26">
        <f t="shared" ref="C27:C32" si="3">B27/B26-1</f>
        <v>1.1680221474623838</v>
      </c>
      <c r="D27" s="30">
        <v>3504879.25</v>
      </c>
      <c r="E27" s="26">
        <f t="shared" ref="E27:E34" si="4">D27/D26-1</f>
        <v>0.22666759786952873</v>
      </c>
      <c r="F27" s="30">
        <v>64117183.960000001</v>
      </c>
      <c r="G27" s="26">
        <f t="shared" ref="G27:G39" si="5">F27/F26-1</f>
        <v>-3.8438239003053987E-2</v>
      </c>
    </row>
    <row r="28" spans="1:7">
      <c r="A28" s="3">
        <v>2009</v>
      </c>
      <c r="B28" s="30">
        <v>7060961.75</v>
      </c>
      <c r="C28" s="26">
        <f t="shared" si="3"/>
        <v>-0.21939475370845196</v>
      </c>
      <c r="D28" s="30">
        <v>1757682.1</v>
      </c>
      <c r="E28" s="26">
        <f t="shared" si="4"/>
        <v>-0.49850423520296738</v>
      </c>
      <c r="F28" s="30">
        <v>50857994.710000001</v>
      </c>
      <c r="G28" s="26">
        <f t="shared" si="5"/>
        <v>-0.20679618833964775</v>
      </c>
    </row>
    <row r="29" spans="1:7">
      <c r="A29" s="3">
        <v>2010</v>
      </c>
      <c r="B29" s="30">
        <v>22930810.649999999</v>
      </c>
      <c r="C29" s="26">
        <f t="shared" si="3"/>
        <v>2.2475477791676179</v>
      </c>
      <c r="D29" s="30">
        <v>2472500.4500000002</v>
      </c>
      <c r="E29" s="26">
        <f t="shared" si="4"/>
        <v>0.40668238585350558</v>
      </c>
      <c r="F29" s="30">
        <v>55235942.560000002</v>
      </c>
      <c r="G29" s="26">
        <f t="shared" si="5"/>
        <v>8.6081802378637384E-2</v>
      </c>
    </row>
    <row r="30" spans="1:7">
      <c r="A30" s="3">
        <v>2011</v>
      </c>
      <c r="B30" s="30">
        <v>1441328.1</v>
      </c>
      <c r="C30" s="26">
        <f t="shared" si="3"/>
        <v>-0.93714447683514401</v>
      </c>
      <c r="D30" s="30">
        <v>919556.35</v>
      </c>
      <c r="E30" s="26">
        <f t="shared" si="4"/>
        <v>-0.62808647820468555</v>
      </c>
      <c r="F30" s="30">
        <v>49122553.910000004</v>
      </c>
      <c r="G30" s="26">
        <f t="shared" si="5"/>
        <v>-0.11067772842582224</v>
      </c>
    </row>
    <row r="31" spans="1:7">
      <c r="A31" s="3">
        <v>2012</v>
      </c>
      <c r="B31" s="30">
        <v>20975.45</v>
      </c>
      <c r="C31" s="26">
        <f t="shared" si="3"/>
        <v>-0.98544713726180733</v>
      </c>
      <c r="D31" s="30">
        <v>673247.25</v>
      </c>
      <c r="E31" s="26">
        <f t="shared" si="4"/>
        <v>-0.26785645055901142</v>
      </c>
      <c r="F31" s="30">
        <v>39379061.82</v>
      </c>
      <c r="G31" s="26">
        <f t="shared" si="5"/>
        <v>-0.1983506824146718</v>
      </c>
    </row>
    <row r="32" spans="1:7">
      <c r="A32" s="3">
        <v>2013</v>
      </c>
      <c r="B32" s="30">
        <v>0</v>
      </c>
      <c r="C32" s="26">
        <f t="shared" si="3"/>
        <v>-1</v>
      </c>
      <c r="D32" s="30">
        <v>304441.65000000002</v>
      </c>
      <c r="E32" s="26">
        <f t="shared" si="4"/>
        <v>-0.54780112358424038</v>
      </c>
      <c r="F32" s="30">
        <v>40341226.82</v>
      </c>
      <c r="G32" s="26">
        <f t="shared" si="5"/>
        <v>2.4433416021895527E-2</v>
      </c>
    </row>
    <row r="33" spans="1:7">
      <c r="A33" s="3">
        <v>2014</v>
      </c>
      <c r="B33" s="30">
        <v>0</v>
      </c>
      <c r="C33" s="26" t="s">
        <v>89</v>
      </c>
      <c r="D33" s="30">
        <v>332526</v>
      </c>
      <c r="E33" s="26">
        <f t="shared" si="4"/>
        <v>9.2248711698941221E-2</v>
      </c>
      <c r="F33" s="30">
        <v>41803305.829999998</v>
      </c>
      <c r="G33" s="26">
        <f t="shared" si="5"/>
        <v>3.6242799866342823E-2</v>
      </c>
    </row>
    <row r="34" spans="1:7">
      <c r="A34" s="3">
        <v>2015</v>
      </c>
      <c r="B34" s="30">
        <v>0</v>
      </c>
      <c r="C34" s="26" t="s">
        <v>89</v>
      </c>
      <c r="D34" s="30">
        <v>15470</v>
      </c>
      <c r="E34" s="26">
        <f t="shared" si="4"/>
        <v>-0.95347732207406333</v>
      </c>
      <c r="F34" s="30">
        <v>41436366</v>
      </c>
      <c r="G34" s="26">
        <f t="shared" si="5"/>
        <v>-8.7777706263763022E-3</v>
      </c>
    </row>
    <row r="35" spans="1:7">
      <c r="A35" s="3">
        <v>2016</v>
      </c>
      <c r="B35" s="30">
        <v>0</v>
      </c>
      <c r="C35" s="26" t="s">
        <v>89</v>
      </c>
      <c r="D35" s="30">
        <v>0</v>
      </c>
      <c r="E35" s="26">
        <f>D35/D34-1</f>
        <v>-1</v>
      </c>
      <c r="F35" s="30">
        <v>40185921.960000001</v>
      </c>
      <c r="G35" s="26">
        <f t="shared" si="5"/>
        <v>-3.0177454268069726E-2</v>
      </c>
    </row>
    <row r="36" spans="1:7">
      <c r="A36" s="3">
        <v>2017</v>
      </c>
      <c r="B36" s="30">
        <v>0</v>
      </c>
      <c r="C36" s="26" t="s">
        <v>89</v>
      </c>
      <c r="D36" s="30">
        <v>0</v>
      </c>
      <c r="E36" s="26" t="s">
        <v>89</v>
      </c>
      <c r="F36" s="30">
        <v>45844904.57</v>
      </c>
      <c r="G36" s="26">
        <f t="shared" si="5"/>
        <v>0.14082002686495043</v>
      </c>
    </row>
    <row r="37" spans="1:7">
      <c r="A37" s="3">
        <v>2018</v>
      </c>
      <c r="B37" s="30">
        <v>0</v>
      </c>
      <c r="C37" s="26" t="s">
        <v>89</v>
      </c>
      <c r="D37" s="30">
        <v>0</v>
      </c>
      <c r="E37" s="26" t="s">
        <v>89</v>
      </c>
      <c r="F37" s="30">
        <v>44976939</v>
      </c>
      <c r="G37" s="26">
        <f t="shared" si="5"/>
        <v>-1.8932650817818031E-2</v>
      </c>
    </row>
    <row r="38" spans="1:7">
      <c r="A38" s="3">
        <v>2019</v>
      </c>
      <c r="B38" s="30">
        <v>0</v>
      </c>
      <c r="C38" s="26" t="s">
        <v>89</v>
      </c>
      <c r="D38" s="30">
        <v>0</v>
      </c>
      <c r="E38" s="26" t="s">
        <v>89</v>
      </c>
      <c r="F38" s="30">
        <v>43869354</v>
      </c>
      <c r="G38" s="26">
        <f>F38/F37-1</f>
        <v>-2.4625619809298227E-2</v>
      </c>
    </row>
    <row r="39" spans="1:7">
      <c r="A39" s="3">
        <v>2020</v>
      </c>
      <c r="B39" s="30">
        <v>0</v>
      </c>
      <c r="C39" s="26" t="s">
        <v>89</v>
      </c>
      <c r="D39" s="30">
        <v>0</v>
      </c>
      <c r="E39" s="26" t="s">
        <v>89</v>
      </c>
      <c r="F39" s="30">
        <v>52502394</v>
      </c>
      <c r="G39" s="26">
        <f t="shared" si="5"/>
        <v>0.19678976809186666</v>
      </c>
    </row>
    <row r="40" spans="1:7">
      <c r="B40" s="25"/>
      <c r="C40" s="36"/>
      <c r="D40" s="25"/>
      <c r="E40" s="36"/>
      <c r="F40" s="25"/>
      <c r="G40" s="36"/>
    </row>
    <row r="41" spans="1:7">
      <c r="A41" s="3" t="s">
        <v>79</v>
      </c>
      <c r="C41" s="36" t="s">
        <v>89</v>
      </c>
      <c r="E41" s="36" t="s">
        <v>89</v>
      </c>
      <c r="G41" s="36">
        <f>(F39/F9)^(1/30)-1</f>
        <v>2.994160297925208E-2</v>
      </c>
    </row>
    <row r="42" spans="1:7">
      <c r="C42" s="36"/>
      <c r="E42" s="36"/>
      <c r="G42" s="36"/>
    </row>
    <row r="43" spans="1:7">
      <c r="A43" s="4" t="s">
        <v>330</v>
      </c>
    </row>
    <row r="44" spans="1:7">
      <c r="A44" s="3" t="s">
        <v>383</v>
      </c>
    </row>
    <row r="45" spans="1:7">
      <c r="A45" s="3" t="s">
        <v>382</v>
      </c>
    </row>
    <row r="47" spans="1:7">
      <c r="A47" s="4" t="s">
        <v>143</v>
      </c>
    </row>
    <row r="48" spans="1:7">
      <c r="A48" s="3" t="s">
        <v>153</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76000D66-8870-4CEF-853D-918454B26C43}"/>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G49"/>
  <sheetViews>
    <sheetView zoomScaleNormal="100" workbookViewId="0">
      <selection activeCell="A4" sqref="A4"/>
    </sheetView>
  </sheetViews>
  <sheetFormatPr baseColWidth="10" defaultRowHeight="12.75"/>
  <cols>
    <col min="1" max="1" width="11.140625" style="3" customWidth="1"/>
    <col min="2" max="2" width="18.28515625" style="3" customWidth="1"/>
    <col min="3" max="3" width="8.85546875" style="3" customWidth="1"/>
    <col min="4" max="4" width="15.7109375" style="3" customWidth="1"/>
    <col min="5" max="5" width="8.85546875" style="3" customWidth="1"/>
    <col min="6" max="6" width="15.7109375" style="3" customWidth="1"/>
    <col min="7" max="7" width="8.42578125" style="3" customWidth="1"/>
    <col min="8" max="16384" width="11.42578125" style="3"/>
  </cols>
  <sheetData>
    <row r="1" spans="1:7" s="23" customFormat="1" ht="15.75">
      <c r="A1" s="23" t="s">
        <v>479</v>
      </c>
    </row>
    <row r="2" spans="1:7">
      <c r="A2" s="3" t="s">
        <v>263</v>
      </c>
    </row>
    <row r="4" spans="1:7">
      <c r="A4" s="40" t="s">
        <v>551</v>
      </c>
    </row>
    <row r="6" spans="1:7">
      <c r="A6" s="3" t="s">
        <v>550</v>
      </c>
    </row>
    <row r="9" spans="1:7" s="4" customFormat="1">
      <c r="A9" s="24" t="s">
        <v>215</v>
      </c>
      <c r="B9" s="24" t="s">
        <v>82</v>
      </c>
      <c r="C9" s="24" t="s">
        <v>245</v>
      </c>
      <c r="D9" s="24" t="s">
        <v>217</v>
      </c>
      <c r="E9" s="24" t="s">
        <v>245</v>
      </c>
      <c r="F9" s="24" t="s">
        <v>218</v>
      </c>
      <c r="G9" s="24" t="s">
        <v>245</v>
      </c>
    </row>
    <row r="10" spans="1:7">
      <c r="A10" s="3">
        <v>1990</v>
      </c>
      <c r="B10" s="25">
        <v>2308177.2999999998</v>
      </c>
      <c r="C10" s="36">
        <v>-6.0993032212563913E-2</v>
      </c>
      <c r="D10" s="25">
        <v>38761891</v>
      </c>
      <c r="E10" s="36">
        <v>9.0377229330785402E-2</v>
      </c>
      <c r="F10" s="25">
        <v>1785653.25</v>
      </c>
      <c r="G10" s="36">
        <v>7.3482062514999225E-2</v>
      </c>
    </row>
    <row r="11" spans="1:7">
      <c r="A11" s="3">
        <v>1991</v>
      </c>
      <c r="B11" s="25">
        <v>2249609.1</v>
      </c>
      <c r="C11" s="36">
        <f t="shared" ref="C11:C27" si="0">B11/B10-1</f>
        <v>-2.5374220602550679E-2</v>
      </c>
      <c r="D11" s="25">
        <v>39015717</v>
      </c>
      <c r="E11" s="36">
        <f t="shared" ref="E11:E27" si="1">D11/D10-1</f>
        <v>6.5483389342382292E-3</v>
      </c>
      <c r="F11" s="25">
        <v>1798626.05</v>
      </c>
      <c r="G11" s="36">
        <f t="shared" ref="G11:G27" si="2">F11/F10-1</f>
        <v>7.265016318257711E-3</v>
      </c>
    </row>
    <row r="12" spans="1:7">
      <c r="A12" s="3">
        <v>1992</v>
      </c>
      <c r="B12" s="25">
        <v>2270496.9</v>
      </c>
      <c r="C12" s="36">
        <f t="shared" si="0"/>
        <v>9.2850797945296382E-3</v>
      </c>
      <c r="D12" s="25">
        <v>44070064</v>
      </c>
      <c r="E12" s="36">
        <f t="shared" si="1"/>
        <v>0.1295464338128145</v>
      </c>
      <c r="F12" s="25">
        <v>1883955.9</v>
      </c>
      <c r="G12" s="36">
        <f t="shared" si="2"/>
        <v>4.7441684723736666E-2</v>
      </c>
    </row>
    <row r="13" spans="1:7">
      <c r="A13" s="3">
        <v>1993</v>
      </c>
      <c r="B13" s="25">
        <v>2413757.5</v>
      </c>
      <c r="C13" s="36">
        <f t="shared" si="0"/>
        <v>6.3096584716763937E-2</v>
      </c>
      <c r="D13" s="25">
        <v>39003152</v>
      </c>
      <c r="E13" s="36">
        <f t="shared" si="1"/>
        <v>-0.11497401047568256</v>
      </c>
      <c r="F13" s="25">
        <v>2163389.7000000002</v>
      </c>
      <c r="G13" s="36">
        <f t="shared" si="2"/>
        <v>0.14832289864109893</v>
      </c>
    </row>
    <row r="14" spans="1:7">
      <c r="A14" s="3">
        <v>1994</v>
      </c>
      <c r="B14" s="25">
        <v>2180707.1</v>
      </c>
      <c r="C14" s="36">
        <f t="shared" si="0"/>
        <v>-9.6550875553985782E-2</v>
      </c>
      <c r="D14" s="25">
        <v>38764720</v>
      </c>
      <c r="E14" s="36">
        <f t="shared" si="1"/>
        <v>-6.1131469579689401E-3</v>
      </c>
      <c r="F14" s="25">
        <v>2141637.15</v>
      </c>
      <c r="G14" s="36">
        <f t="shared" si="2"/>
        <v>-1.0054845874509E-2</v>
      </c>
    </row>
    <row r="15" spans="1:7">
      <c r="A15" s="3">
        <v>1995</v>
      </c>
      <c r="B15" s="25">
        <v>1887391.05</v>
      </c>
      <c r="C15" s="36">
        <f t="shared" si="0"/>
        <v>-0.13450501903717382</v>
      </c>
      <c r="D15" s="25">
        <v>84448704.840000004</v>
      </c>
      <c r="E15" s="36" t="s">
        <v>89</v>
      </c>
      <c r="F15" s="25">
        <v>2266661.0499999998</v>
      </c>
      <c r="G15" s="36">
        <f t="shared" si="2"/>
        <v>5.8377722855619929E-2</v>
      </c>
    </row>
    <row r="16" spans="1:7">
      <c r="A16" s="3">
        <v>1996</v>
      </c>
      <c r="B16" s="25">
        <v>2198638</v>
      </c>
      <c r="C16" s="36">
        <f t="shared" si="0"/>
        <v>0.16490856518578911</v>
      </c>
      <c r="D16" s="25">
        <v>107221042.59</v>
      </c>
      <c r="E16" s="36">
        <f t="shared" si="1"/>
        <v>0.26965881588291274</v>
      </c>
      <c r="F16" s="25">
        <v>2434826.11</v>
      </c>
      <c r="G16" s="36">
        <f t="shared" si="2"/>
        <v>7.4190651487129111E-2</v>
      </c>
    </row>
    <row r="17" spans="1:7">
      <c r="A17" s="3">
        <v>1997</v>
      </c>
      <c r="B17" s="25">
        <v>1855880.5</v>
      </c>
      <c r="C17" s="36">
        <f t="shared" si="0"/>
        <v>-0.1558953770470628</v>
      </c>
      <c r="D17" s="25">
        <v>117973894.45</v>
      </c>
      <c r="E17" s="36">
        <f t="shared" si="1"/>
        <v>0.10028676834562766</v>
      </c>
      <c r="F17" s="25">
        <v>2586026.2000000002</v>
      </c>
      <c r="G17" s="36">
        <f t="shared" si="2"/>
        <v>6.2098927467144849E-2</v>
      </c>
    </row>
    <row r="18" spans="1:7">
      <c r="A18" s="3">
        <v>1998</v>
      </c>
      <c r="B18" s="25">
        <v>1496336.5</v>
      </c>
      <c r="C18" s="36">
        <f t="shared" si="0"/>
        <v>-0.1937323011907286</v>
      </c>
      <c r="D18" s="25">
        <v>124418483.92</v>
      </c>
      <c r="E18" s="36">
        <f t="shared" si="1"/>
        <v>5.4627250376407366E-2</v>
      </c>
      <c r="F18" s="25">
        <v>2538789.2599999998</v>
      </c>
      <c r="G18" s="36">
        <f t="shared" si="2"/>
        <v>-1.8266226382393391E-2</v>
      </c>
    </row>
    <row r="19" spans="1:7">
      <c r="A19" s="3">
        <v>1999</v>
      </c>
      <c r="B19" s="25">
        <v>1250843.5</v>
      </c>
      <c r="C19" s="36">
        <f t="shared" si="0"/>
        <v>-0.16406269579068611</v>
      </c>
      <c r="D19" s="25">
        <v>139538194.78</v>
      </c>
      <c r="E19" s="36">
        <f t="shared" si="1"/>
        <v>0.12152302763729095</v>
      </c>
      <c r="F19" s="25">
        <v>2363731.69</v>
      </c>
      <c r="G19" s="36">
        <f t="shared" si="2"/>
        <v>-6.8953171008766523E-2</v>
      </c>
    </row>
    <row r="20" spans="1:7">
      <c r="A20" s="3">
        <v>2000</v>
      </c>
      <c r="B20" s="25">
        <v>1405891.3</v>
      </c>
      <c r="C20" s="36">
        <f t="shared" si="0"/>
        <v>0.12395459543899778</v>
      </c>
      <c r="D20" s="25">
        <v>161611260.78</v>
      </c>
      <c r="E20" s="36">
        <f t="shared" si="1"/>
        <v>0.15818655268402337</v>
      </c>
      <c r="F20" s="25">
        <v>2127341.96</v>
      </c>
      <c r="G20" s="36">
        <f t="shared" si="2"/>
        <v>-0.10000700629435655</v>
      </c>
    </row>
    <row r="21" spans="1:7">
      <c r="A21" s="3">
        <v>2001</v>
      </c>
      <c r="B21" s="25">
        <v>1352285.6</v>
      </c>
      <c r="C21" s="36">
        <f t="shared" si="0"/>
        <v>-3.8129334750133248E-2</v>
      </c>
      <c r="D21" s="25">
        <v>178200456.71000001</v>
      </c>
      <c r="E21" s="36">
        <f t="shared" si="1"/>
        <v>0.10264876253012312</v>
      </c>
      <c r="F21" s="25">
        <v>2453191.52</v>
      </c>
      <c r="G21" s="36">
        <f t="shared" si="2"/>
        <v>0.15317215855602262</v>
      </c>
    </row>
    <row r="22" spans="1:7">
      <c r="A22" s="3">
        <v>2002</v>
      </c>
      <c r="B22" s="25">
        <v>1127605</v>
      </c>
      <c r="C22" s="36">
        <f t="shared" si="0"/>
        <v>-0.16614877803919537</v>
      </c>
      <c r="D22" s="25">
        <v>170344235.69999999</v>
      </c>
      <c r="E22" s="36">
        <f t="shared" si="1"/>
        <v>-4.408642466492152E-2</v>
      </c>
      <c r="F22" s="25">
        <v>2918625.65</v>
      </c>
      <c r="G22" s="36">
        <f t="shared" si="2"/>
        <v>0.18972596562701294</v>
      </c>
    </row>
    <row r="23" spans="1:7">
      <c r="A23" s="3">
        <v>2003</v>
      </c>
      <c r="B23" s="25">
        <v>749716.5</v>
      </c>
      <c r="C23" s="36">
        <f t="shared" si="0"/>
        <v>-0.3351248885913064</v>
      </c>
      <c r="D23" s="25">
        <v>166786408.55000001</v>
      </c>
      <c r="E23" s="36">
        <f t="shared" si="1"/>
        <v>-2.0886102399530593E-2</v>
      </c>
      <c r="F23" s="25">
        <v>3101648.05</v>
      </c>
      <c r="G23" s="36">
        <f t="shared" si="2"/>
        <v>6.270841894369017E-2</v>
      </c>
    </row>
    <row r="24" spans="1:7">
      <c r="A24" s="3">
        <v>2004</v>
      </c>
      <c r="B24" s="25">
        <v>784613</v>
      </c>
      <c r="C24" s="36">
        <f t="shared" si="0"/>
        <v>4.6546261153382673E-2</v>
      </c>
      <c r="D24" s="25">
        <v>173311700.41999999</v>
      </c>
      <c r="E24" s="36">
        <f t="shared" si="1"/>
        <v>3.9123642787978197E-2</v>
      </c>
      <c r="F24" s="25">
        <v>2820952.32</v>
      </c>
      <c r="G24" s="36">
        <f t="shared" si="2"/>
        <v>-9.0498897835942449E-2</v>
      </c>
    </row>
    <row r="25" spans="1:7">
      <c r="A25" s="3">
        <v>2005</v>
      </c>
      <c r="B25" s="25">
        <v>1937464.85</v>
      </c>
      <c r="C25" s="36">
        <f t="shared" si="0"/>
        <v>1.4693254508910765</v>
      </c>
      <c r="D25" s="25">
        <v>173953048.58000001</v>
      </c>
      <c r="E25" s="36">
        <f t="shared" si="1"/>
        <v>3.7005473862745664E-3</v>
      </c>
      <c r="F25" s="25">
        <v>2836380.8</v>
      </c>
      <c r="G25" s="36">
        <f t="shared" si="2"/>
        <v>5.4692452228330968E-3</v>
      </c>
    </row>
    <row r="26" spans="1:7">
      <c r="A26" s="3">
        <v>2006</v>
      </c>
      <c r="B26" s="25">
        <v>1146633.8</v>
      </c>
      <c r="C26" s="36">
        <f t="shared" si="0"/>
        <v>-0.40817826965996318</v>
      </c>
      <c r="D26" s="25">
        <v>176399562.74000001</v>
      </c>
      <c r="E26" s="36">
        <f t="shared" si="1"/>
        <v>1.4064221236541607E-2</v>
      </c>
      <c r="F26" s="25">
        <v>2996129.45</v>
      </c>
      <c r="G26" s="36">
        <f t="shared" si="2"/>
        <v>5.6321298607013626E-2</v>
      </c>
    </row>
    <row r="27" spans="1:7">
      <c r="A27" s="3">
        <v>2007</v>
      </c>
      <c r="B27" s="25">
        <v>1002915.8</v>
      </c>
      <c r="C27" s="36">
        <f t="shared" si="0"/>
        <v>-0.12533905768345566</v>
      </c>
      <c r="D27" s="25">
        <v>195023007</v>
      </c>
      <c r="E27" s="36">
        <f t="shared" si="1"/>
        <v>0.10557534253896983</v>
      </c>
      <c r="F27" s="25">
        <v>2693132.39</v>
      </c>
      <c r="G27" s="36">
        <f t="shared" si="2"/>
        <v>-0.10112949558971829</v>
      </c>
    </row>
    <row r="28" spans="1:7">
      <c r="A28" s="3">
        <v>2008</v>
      </c>
      <c r="B28" s="25">
        <v>714668.3</v>
      </c>
      <c r="C28" s="36">
        <f t="shared" ref="C28:C40" si="3">B28/B27-1</f>
        <v>-0.2874094714631078</v>
      </c>
      <c r="D28" s="25">
        <v>212669456.97</v>
      </c>
      <c r="E28" s="36">
        <f t="shared" ref="E28:E40" si="4">D28/D27-1</f>
        <v>9.0483939517966627E-2</v>
      </c>
      <c r="F28" s="25">
        <v>3103991.35</v>
      </c>
      <c r="G28" s="36">
        <f>F28/F27-1</f>
        <v>0.15255802556368203</v>
      </c>
    </row>
    <row r="29" spans="1:7">
      <c r="A29" s="3">
        <v>2009</v>
      </c>
      <c r="B29" s="25">
        <v>562862</v>
      </c>
      <c r="C29" s="36">
        <f t="shared" si="3"/>
        <v>-0.21241504625292607</v>
      </c>
      <c r="D29" s="25">
        <v>206602079.81999999</v>
      </c>
      <c r="E29" s="36">
        <f t="shared" si="4"/>
        <v>-2.8529612274582061E-2</v>
      </c>
      <c r="F29" s="25">
        <v>2540418.35</v>
      </c>
      <c r="G29" s="36">
        <f>F29/F28-1</f>
        <v>-0.18156397246403411</v>
      </c>
    </row>
    <row r="30" spans="1:7">
      <c r="A30" s="3">
        <v>2010</v>
      </c>
      <c r="B30" s="25">
        <v>267220</v>
      </c>
      <c r="C30" s="36">
        <f t="shared" si="3"/>
        <v>-0.52524775166914806</v>
      </c>
      <c r="D30" s="25">
        <v>227357057.06999999</v>
      </c>
      <c r="E30" s="36">
        <f t="shared" si="4"/>
        <v>0.1004587043270937</v>
      </c>
      <c r="F30" s="25">
        <v>3465712.4</v>
      </c>
      <c r="G30" s="36">
        <f>F30/F29-1</f>
        <v>0.36422900582496576</v>
      </c>
    </row>
    <row r="31" spans="1:7">
      <c r="A31" s="3">
        <v>2011</v>
      </c>
      <c r="B31" s="25">
        <v>191841</v>
      </c>
      <c r="C31" s="36">
        <f t="shared" si="3"/>
        <v>-0.28208592171244662</v>
      </c>
      <c r="D31" s="25">
        <v>205809981.92000002</v>
      </c>
      <c r="E31" s="36">
        <f t="shared" si="4"/>
        <v>-9.4771965417224546E-2</v>
      </c>
      <c r="F31" s="25">
        <v>2965884</v>
      </c>
      <c r="G31" s="36">
        <f>F31/F30-1</f>
        <v>-0.14422096882591873</v>
      </c>
    </row>
    <row r="32" spans="1:7">
      <c r="A32" s="3">
        <v>2012</v>
      </c>
      <c r="B32" s="25">
        <v>182055</v>
      </c>
      <c r="C32" s="36">
        <f t="shared" si="3"/>
        <v>-5.1010993478974753E-2</v>
      </c>
      <c r="D32" s="25">
        <v>206783016.96000001</v>
      </c>
      <c r="E32" s="36">
        <f t="shared" si="4"/>
        <v>4.7278321047528049E-3</v>
      </c>
      <c r="F32" s="25">
        <v>0</v>
      </c>
      <c r="G32" s="36">
        <f>F32/F31-1</f>
        <v>-1</v>
      </c>
    </row>
    <row r="33" spans="1:7">
      <c r="A33" s="3">
        <v>2013</v>
      </c>
      <c r="B33" s="25">
        <v>142400</v>
      </c>
      <c r="C33" s="36">
        <f t="shared" si="3"/>
        <v>-0.21781879102469037</v>
      </c>
      <c r="D33" s="25">
        <v>191768524.53999999</v>
      </c>
      <c r="E33" s="36">
        <f t="shared" si="4"/>
        <v>-7.2609891473362165E-2</v>
      </c>
      <c r="F33" s="25">
        <v>26798</v>
      </c>
      <c r="G33" s="36" t="s">
        <v>89</v>
      </c>
    </row>
    <row r="34" spans="1:7">
      <c r="A34" s="3">
        <v>2014</v>
      </c>
      <c r="B34" s="25">
        <v>213603</v>
      </c>
      <c r="C34" s="36">
        <f t="shared" si="3"/>
        <v>0.50002106741573038</v>
      </c>
      <c r="D34" s="25">
        <v>175287888.24000001</v>
      </c>
      <c r="E34" s="36">
        <f t="shared" si="4"/>
        <v>-8.5940257086153715E-2</v>
      </c>
      <c r="F34" s="25">
        <v>115351</v>
      </c>
      <c r="G34" s="36" t="s">
        <v>89</v>
      </c>
    </row>
    <row r="35" spans="1:7">
      <c r="A35" s="3">
        <v>2015</v>
      </c>
      <c r="B35" s="25">
        <v>338602</v>
      </c>
      <c r="C35" s="36">
        <f t="shared" si="3"/>
        <v>0.58519309185732404</v>
      </c>
      <c r="D35" s="25">
        <v>185812862</v>
      </c>
      <c r="E35" s="36">
        <f t="shared" si="4"/>
        <v>6.0043930391753264E-2</v>
      </c>
      <c r="F35" s="25">
        <v>0</v>
      </c>
      <c r="G35" s="36">
        <f>F35/F34-1</f>
        <v>-1</v>
      </c>
    </row>
    <row r="36" spans="1:7">
      <c r="A36" s="3">
        <v>2016</v>
      </c>
      <c r="B36" s="25">
        <v>192089</v>
      </c>
      <c r="C36" s="36">
        <f t="shared" si="3"/>
        <v>-0.43269974778648679</v>
      </c>
      <c r="D36" s="25">
        <v>214645357</v>
      </c>
      <c r="E36" s="36">
        <f t="shared" si="4"/>
        <v>0.15516953288195956</v>
      </c>
      <c r="F36" s="25">
        <v>26</v>
      </c>
      <c r="G36" s="36" t="s">
        <v>89</v>
      </c>
    </row>
    <row r="37" spans="1:7">
      <c r="A37" s="3">
        <v>2017</v>
      </c>
      <c r="B37" s="25">
        <v>117104</v>
      </c>
      <c r="C37" s="36">
        <f t="shared" si="3"/>
        <v>-0.39036592412891946</v>
      </c>
      <c r="D37" s="25">
        <v>201314828</v>
      </c>
      <c r="E37" s="36">
        <f t="shared" si="4"/>
        <v>-6.2104902646461624E-2</v>
      </c>
      <c r="F37" s="25">
        <v>0</v>
      </c>
      <c r="G37" s="36">
        <f>F37/F36-1</f>
        <v>-1</v>
      </c>
    </row>
    <row r="38" spans="1:7">
      <c r="A38" s="3">
        <v>2018</v>
      </c>
      <c r="B38" s="25">
        <v>106932</v>
      </c>
      <c r="C38" s="36">
        <f t="shared" si="3"/>
        <v>-8.6862959420685892E-2</v>
      </c>
      <c r="D38" s="25">
        <v>204923887</v>
      </c>
      <c r="E38" s="36">
        <f t="shared" si="4"/>
        <v>1.7927437515929068E-2</v>
      </c>
      <c r="F38" s="25">
        <v>0</v>
      </c>
      <c r="G38" s="36" t="s">
        <v>89</v>
      </c>
    </row>
    <row r="39" spans="1:7">
      <c r="A39" s="3">
        <v>2019</v>
      </c>
      <c r="B39" s="25">
        <v>168456</v>
      </c>
      <c r="C39" s="36">
        <f>B39/B38-1</f>
        <v>0.5753563012007632</v>
      </c>
      <c r="D39" s="25">
        <v>223720682</v>
      </c>
      <c r="E39" s="36">
        <f>D39/D38-1</f>
        <v>9.1725739127718198E-2</v>
      </c>
      <c r="F39" s="25">
        <v>0</v>
      </c>
      <c r="G39" s="36" t="s">
        <v>89</v>
      </c>
    </row>
    <row r="40" spans="1:7">
      <c r="A40" s="3">
        <v>2020</v>
      </c>
      <c r="B40" s="25">
        <v>114245</v>
      </c>
      <c r="C40" s="36">
        <f t="shared" si="3"/>
        <v>-0.32181103670988265</v>
      </c>
      <c r="D40" s="25">
        <v>220301763</v>
      </c>
      <c r="E40" s="36">
        <f t="shared" si="4"/>
        <v>-1.5282087330665273E-2</v>
      </c>
      <c r="F40" s="25">
        <v>0</v>
      </c>
      <c r="G40" s="36" t="s">
        <v>89</v>
      </c>
    </row>
    <row r="41" spans="1:7">
      <c r="C41" s="36"/>
      <c r="E41" s="36"/>
      <c r="G41" s="36"/>
    </row>
    <row r="42" spans="1:7">
      <c r="A42" s="3" t="s">
        <v>79</v>
      </c>
      <c r="C42" s="36">
        <f>(B40/B10)^(1/30)-1</f>
        <v>-9.5339556261570424E-2</v>
      </c>
      <c r="E42" s="36">
        <f>(D40/D10)^(1/30)-1</f>
        <v>5.9628833195590314E-2</v>
      </c>
      <c r="G42" s="36" t="s">
        <v>89</v>
      </c>
    </row>
    <row r="44" spans="1:7">
      <c r="A44" s="4" t="s">
        <v>330</v>
      </c>
    </row>
    <row r="45" spans="1:7" ht="39.75" customHeight="1">
      <c r="A45" s="21" t="s">
        <v>384</v>
      </c>
      <c r="B45" s="21"/>
      <c r="C45" s="21"/>
      <c r="D45" s="21"/>
      <c r="E45" s="21"/>
      <c r="F45" s="21"/>
      <c r="G45" s="21"/>
    </row>
    <row r="46" spans="1:7" ht="27.75" customHeight="1">
      <c r="A46" s="21" t="s">
        <v>219</v>
      </c>
      <c r="B46" s="21"/>
      <c r="C46" s="21"/>
      <c r="D46" s="21"/>
      <c r="E46" s="21"/>
      <c r="F46" s="21"/>
      <c r="G46" s="21"/>
    </row>
    <row r="48" spans="1:7">
      <c r="A48" s="4" t="s">
        <v>143</v>
      </c>
    </row>
    <row r="49" spans="1:1">
      <c r="A49" s="3" t="s">
        <v>153</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2">
    <mergeCell ref="A45:G45"/>
    <mergeCell ref="A46:G46"/>
  </mergeCells>
  <phoneticPr fontId="2" type="noConversion"/>
  <hyperlinks>
    <hyperlink ref="A4" location="Inhalt!A1" display="&lt;&lt;&lt; Inhalt" xr:uid="{873507F4-1B9E-49B0-AE33-EBDE5734AC7C}"/>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G46"/>
  <sheetViews>
    <sheetView zoomScaleNormal="100" workbookViewId="0">
      <selection activeCell="A4" sqref="A4"/>
    </sheetView>
  </sheetViews>
  <sheetFormatPr baseColWidth="10" defaultRowHeight="12.75"/>
  <cols>
    <col min="1" max="1" width="16.28515625" style="3" customWidth="1"/>
    <col min="2" max="2" width="19.85546875" style="3" bestFit="1" customWidth="1"/>
    <col min="3" max="3" width="7.28515625" style="3" customWidth="1"/>
    <col min="4" max="4" width="14.28515625" style="3" customWidth="1"/>
    <col min="5" max="5" width="8" style="3" customWidth="1"/>
    <col min="6" max="6" width="13.5703125" style="3" customWidth="1"/>
    <col min="7" max="7" width="7.5703125" style="3" customWidth="1"/>
    <col min="8" max="16384" width="11.42578125" style="3"/>
  </cols>
  <sheetData>
    <row r="1" spans="1:7" s="23" customFormat="1" ht="15.75">
      <c r="A1" s="23" t="s">
        <v>281</v>
      </c>
    </row>
    <row r="2" spans="1:7">
      <c r="A2" s="3" t="s">
        <v>263</v>
      </c>
      <c r="G2" s="3" t="s">
        <v>302</v>
      </c>
    </row>
    <row r="4" spans="1:7">
      <c r="A4" s="40" t="s">
        <v>551</v>
      </c>
    </row>
    <row r="6" spans="1:7">
      <c r="A6" s="3" t="s">
        <v>533</v>
      </c>
    </row>
    <row r="9" spans="1:7" s="4" customFormat="1">
      <c r="A9" s="24" t="s">
        <v>215</v>
      </c>
      <c r="B9" s="24" t="s">
        <v>14</v>
      </c>
      <c r="C9" s="24" t="s">
        <v>245</v>
      </c>
      <c r="D9" s="24" t="s">
        <v>220</v>
      </c>
      <c r="E9" s="24" t="s">
        <v>245</v>
      </c>
      <c r="F9" s="24" t="s">
        <v>221</v>
      </c>
      <c r="G9" s="24" t="s">
        <v>245</v>
      </c>
    </row>
    <row r="11" spans="1:7">
      <c r="A11" s="3">
        <v>1990</v>
      </c>
      <c r="B11" s="25">
        <v>4439878</v>
      </c>
      <c r="C11" s="36">
        <v>0.39832445262675686</v>
      </c>
      <c r="D11" s="25">
        <v>1990100</v>
      </c>
      <c r="E11" s="36">
        <v>8.505534049397534E-2</v>
      </c>
      <c r="F11" s="25">
        <f>'7.2'!B9+'7.2'!D9+'7.2'!F9+'7.3'!B9+'7.3'!D9+'7.3'!F9+'7.4'!B9+'7.4'!F9+'7.5'!B10+'7.5'!D10+'7.5'!F10+'7.6'!B11+'7.6'!D11</f>
        <v>276596245.26999998</v>
      </c>
      <c r="G11" s="36">
        <v>-2E-3</v>
      </c>
    </row>
    <row r="12" spans="1:7">
      <c r="A12" s="3">
        <v>1991</v>
      </c>
      <c r="B12" s="25">
        <v>4571931</v>
      </c>
      <c r="C12" s="36">
        <f t="shared" ref="C12:C28" si="0">B12/B11-1</f>
        <v>2.9742483915098594E-2</v>
      </c>
      <c r="D12" s="25">
        <v>2029290</v>
      </c>
      <c r="E12" s="36">
        <f t="shared" ref="E12:E28" si="1">D12/D11-1</f>
        <v>1.9692477764936545E-2</v>
      </c>
      <c r="F12" s="25">
        <f>'7.2'!B10+'7.2'!D10+'7.2'!F10+'7.3'!B10+'7.3'!D10+'7.3'!F10+'7.4'!B10+'7.4'!F10+'7.5'!B11+'7.5'!D11+'7.5'!F11+'7.6'!B12+'7.6'!D12</f>
        <v>292204524.74000007</v>
      </c>
      <c r="G12" s="36">
        <f t="shared" ref="G12:G28" si="2">F12/F11-1</f>
        <v>5.6429831340494285E-2</v>
      </c>
    </row>
    <row r="13" spans="1:7">
      <c r="A13" s="3">
        <v>1992</v>
      </c>
      <c r="B13" s="25">
        <v>4804469.3499999996</v>
      </c>
      <c r="C13" s="36">
        <f t="shared" si="0"/>
        <v>5.0862173991689685E-2</v>
      </c>
      <c r="D13" s="25">
        <v>2247170</v>
      </c>
      <c r="E13" s="36">
        <f t="shared" si="1"/>
        <v>0.10736760147637847</v>
      </c>
      <c r="F13" s="25">
        <f>'7.2'!B11+'7.2'!D11+'7.2'!F11+'7.3'!B11+'7.3'!D11+'7.3'!F11+'7.4'!B11+'7.4'!F11+'7.5'!B12+'7.5'!D12+'7.5'!F12+'7.6'!B13+'7.6'!D13</f>
        <v>313834600.46000004</v>
      </c>
      <c r="G13" s="36">
        <f t="shared" si="2"/>
        <v>7.4023753531011094E-2</v>
      </c>
    </row>
    <row r="14" spans="1:7">
      <c r="A14" s="3">
        <v>1993</v>
      </c>
      <c r="B14" s="25">
        <v>4934209.5999999996</v>
      </c>
      <c r="C14" s="36">
        <f t="shared" si="0"/>
        <v>2.7004074862086558E-2</v>
      </c>
      <c r="D14" s="25">
        <v>2036987.95</v>
      </c>
      <c r="E14" s="36">
        <f t="shared" si="1"/>
        <v>-9.3531886773141393E-2</v>
      </c>
      <c r="F14" s="25">
        <f>'7.2'!B12+'7.2'!D12+'7.2'!F12+'7.3'!B12+'7.3'!D12+'7.3'!F12+'7.4'!B12+'7.4'!F12+'7.5'!B13+'7.5'!D13+'7.5'!F13+'7.6'!B14+'7.6'!D14</f>
        <v>319363966.31</v>
      </c>
      <c r="G14" s="36">
        <f t="shared" si="2"/>
        <v>1.7618726048355793E-2</v>
      </c>
    </row>
    <row r="15" spans="1:7">
      <c r="A15" s="3">
        <v>1994</v>
      </c>
      <c r="B15" s="25">
        <v>6002373.75</v>
      </c>
      <c r="C15" s="36">
        <f t="shared" si="0"/>
        <v>0.21648130837409107</v>
      </c>
      <c r="D15" s="25">
        <v>2526460</v>
      </c>
      <c r="E15" s="36">
        <f t="shared" si="1"/>
        <v>0.24029206947444148</v>
      </c>
      <c r="F15" s="25">
        <f>'7.2'!B13+'7.2'!D13+'7.2'!F13+'7.3'!B13+'7.3'!D13+'7.3'!F13+'7.4'!B13+'7.4'!D13+'7.4'!F13+'7.5'!B14+'7.5'!D14+'7.5'!F14+'7.6'!B15+'7.6'!D15</f>
        <v>343727505.52999997</v>
      </c>
      <c r="G15" s="36">
        <f t="shared" si="2"/>
        <v>7.6287689877795328E-2</v>
      </c>
    </row>
    <row r="16" spans="1:7">
      <c r="A16" s="3">
        <v>1995</v>
      </c>
      <c r="B16" s="25">
        <v>6925788.7199999997</v>
      </c>
      <c r="C16" s="36">
        <f t="shared" si="0"/>
        <v>0.15384163140457563</v>
      </c>
      <c r="D16" s="25">
        <v>2227178</v>
      </c>
      <c r="E16" s="36">
        <f t="shared" si="1"/>
        <v>-0.1184590296303919</v>
      </c>
      <c r="F16" s="25">
        <f>'7.2'!B14+'7.2'!D14+'7.2'!F14+'7.3'!B14+'7.3'!D14+'7.3'!F14+'7.4'!B14+'7.4'!D14+'7.4'!F14+'7.5'!B15+'7.5'!D15+'7.5'!F15+'7.6'!B16+'7.6'!D16</f>
        <v>394248019.25000006</v>
      </c>
      <c r="G16" s="36">
        <f t="shared" si="2"/>
        <v>0.14697838522437001</v>
      </c>
    </row>
    <row r="17" spans="1:7">
      <c r="A17" s="3">
        <v>1996</v>
      </c>
      <c r="B17" s="25">
        <v>7323508</v>
      </c>
      <c r="C17" s="36">
        <f t="shared" si="0"/>
        <v>5.7425846510662959E-2</v>
      </c>
      <c r="D17" s="25">
        <v>2218291</v>
      </c>
      <c r="E17" s="36">
        <f t="shared" si="1"/>
        <v>-3.9902513404855844E-3</v>
      </c>
      <c r="F17" s="25">
        <f>'7.2'!B15+'7.2'!D15+'7.2'!F15+'7.3'!B15+'7.3'!D15+'7.3'!F15+'7.4'!B15+'7.4'!D15+'7.4'!F15+'7.5'!B16+'7.5'!D16+'7.5'!F16+'7.6'!B17+'7.6'!D17</f>
        <v>442421111.91000009</v>
      </c>
      <c r="G17" s="36">
        <f t="shared" si="2"/>
        <v>0.12218981531382811</v>
      </c>
    </row>
    <row r="18" spans="1:7">
      <c r="A18" s="3">
        <v>1997</v>
      </c>
      <c r="B18" s="25">
        <v>7740583.0999999996</v>
      </c>
      <c r="C18" s="36">
        <f t="shared" si="0"/>
        <v>5.695018015956288E-2</v>
      </c>
      <c r="D18" s="25">
        <v>2545303</v>
      </c>
      <c r="E18" s="36">
        <f t="shared" si="1"/>
        <v>0.14741618660491351</v>
      </c>
      <c r="F18" s="25">
        <f>'7.2'!B16+'7.2'!D16+'7.2'!F16+'7.3'!B16+'7.3'!D16+'7.3'!F16+'7.4'!B16+'7.4'!D16+'7.4'!F16+'7.5'!B17+'7.5'!D17+'7.5'!F17+'7.6'!B18+'7.6'!D18</f>
        <v>474324579.02999997</v>
      </c>
      <c r="G18" s="36">
        <f t="shared" si="2"/>
        <v>7.2111086612181907E-2</v>
      </c>
    </row>
    <row r="19" spans="1:7">
      <c r="A19" s="3">
        <v>1998</v>
      </c>
      <c r="B19" s="25">
        <v>8093795.9000000004</v>
      </c>
      <c r="C19" s="36">
        <f t="shared" si="0"/>
        <v>4.5631291007004471E-2</v>
      </c>
      <c r="D19" s="25">
        <v>1879000</v>
      </c>
      <c r="E19" s="36">
        <f t="shared" si="1"/>
        <v>-0.26177747796627748</v>
      </c>
      <c r="F19" s="25">
        <f>'7.2'!B17+'7.2'!D17+'7.2'!F17+'7.3'!B17+'7.3'!D17+'7.3'!F17+'7.4'!B17+'7.4'!D17+'7.4'!F17+'7.5'!B18+'7.5'!D18+'7.5'!F18+'7.6'!B19+'7.6'!D19</f>
        <v>531886528.33999997</v>
      </c>
      <c r="G19" s="36">
        <f t="shared" si="2"/>
        <v>0.12135561144167339</v>
      </c>
    </row>
    <row r="20" spans="1:7">
      <c r="A20" s="3">
        <v>1999</v>
      </c>
      <c r="B20" s="25">
        <v>8492445.0999999996</v>
      </c>
      <c r="C20" s="36">
        <f t="shared" si="0"/>
        <v>4.9253675892667381E-2</v>
      </c>
      <c r="D20" s="25">
        <v>2588652</v>
      </c>
      <c r="E20" s="36">
        <f t="shared" si="1"/>
        <v>0.37767535923363482</v>
      </c>
      <c r="F20" s="25">
        <f>'7.2'!B18+'7.2'!D18+'7.2'!F18+'7.3'!B18+'7.3'!D18+'7.3'!F18+'7.4'!B18+'7.4'!D18+'7.4'!F18+'7.5'!B19+'7.5'!D19+'7.5'!F19+'7.6'!B20+'7.6'!D20</f>
        <v>583384451.18000007</v>
      </c>
      <c r="G20" s="36">
        <f t="shared" si="2"/>
        <v>9.6821258099398344E-2</v>
      </c>
    </row>
    <row r="21" spans="1:7">
      <c r="A21" s="3">
        <v>2000</v>
      </c>
      <c r="B21" s="25">
        <v>8858691.5</v>
      </c>
      <c r="C21" s="36">
        <f t="shared" si="0"/>
        <v>4.312614278778204E-2</v>
      </c>
      <c r="D21" s="25">
        <v>1900029</v>
      </c>
      <c r="E21" s="36">
        <f t="shared" si="1"/>
        <v>-0.26601605777833404</v>
      </c>
      <c r="F21" s="25">
        <f>'7.2'!B19+'7.2'!D19+'7.2'!F19+'7.3'!B19+'7.3'!D19+'7.3'!F19+'7.4'!B19+'7.4'!D19+'7.4'!F19+'7.5'!B20+'7.5'!D20+'7.5'!F20+'7.6'!B21+'7.6'!D21</f>
        <v>706604117.04000008</v>
      </c>
      <c r="G21" s="36">
        <f t="shared" si="2"/>
        <v>0.21121520398900939</v>
      </c>
    </row>
    <row r="22" spans="1:7">
      <c r="A22" s="3">
        <v>2001</v>
      </c>
      <c r="B22" s="25">
        <v>9095110.5</v>
      </c>
      <c r="C22" s="36">
        <f t="shared" si="0"/>
        <v>2.6687801465938854E-2</v>
      </c>
      <c r="D22" s="25">
        <v>2078700</v>
      </c>
      <c r="E22" s="36">
        <f t="shared" si="1"/>
        <v>9.4035933135757421E-2</v>
      </c>
      <c r="F22" s="25">
        <f>'7.2'!B20+'7.2'!D20+'7.2'!F20+'7.3'!B20+'7.3'!D20+'7.3'!F20+'7.4'!B20+'7.4'!D20+'7.4'!F20+'7.5'!B21+'7.5'!D21+'7.5'!F21+'7.6'!B22+'7.6'!D22</f>
        <v>726435300.69000006</v>
      </c>
      <c r="G22" s="36">
        <f t="shared" si="2"/>
        <v>2.8065479908429891E-2</v>
      </c>
    </row>
    <row r="23" spans="1:7">
      <c r="A23" s="3">
        <v>2002</v>
      </c>
      <c r="B23" s="25">
        <v>9474061.9499999993</v>
      </c>
      <c r="C23" s="36">
        <f t="shared" si="0"/>
        <v>4.1665403625387398E-2</v>
      </c>
      <c r="D23" s="25">
        <v>2471041.85</v>
      </c>
      <c r="E23" s="36">
        <f t="shared" si="1"/>
        <v>0.18874385433203456</v>
      </c>
      <c r="F23" s="25">
        <f>'7.2'!B21+'7.2'!D21+'7.2'!F21+'7.3'!B21+'7.3'!D21+'7.3'!F21+'7.4'!B21+'7.4'!D21+'7.4'!F21+'7.5'!B22+'7.5'!D22+'7.5'!F22+'7.6'!B23+'7.6'!D23</f>
        <v>679798369.1500001</v>
      </c>
      <c r="G23" s="36">
        <f t="shared" si="2"/>
        <v>-6.4199704358670617E-2</v>
      </c>
    </row>
    <row r="24" spans="1:7">
      <c r="A24" s="3">
        <v>2003</v>
      </c>
      <c r="B24" s="25">
        <v>9550099.6500000004</v>
      </c>
      <c r="C24" s="36">
        <f t="shared" si="0"/>
        <v>8.0258816547005285E-3</v>
      </c>
      <c r="D24" s="25">
        <v>1645268</v>
      </c>
      <c r="E24" s="36">
        <f t="shared" si="1"/>
        <v>-0.33418043891081817</v>
      </c>
      <c r="F24" s="25">
        <f>'7.2'!B22+'7.2'!D22+'7.2'!F22+'7.3'!B22+'7.3'!D22+'7.3'!F22+'7.4'!B22+'7.4'!D22+'7.4'!F22+'7.5'!B23+'7.5'!D23+'7.5'!F23+'7.6'!B24+'7.6'!D24</f>
        <v>640497003.38999987</v>
      </c>
      <c r="G24" s="36">
        <f t="shared" si="2"/>
        <v>-5.7813268674271057E-2</v>
      </c>
    </row>
    <row r="25" spans="1:7">
      <c r="A25" s="3">
        <v>2004</v>
      </c>
      <c r="B25" s="25">
        <v>9808121.8000000007</v>
      </c>
      <c r="C25" s="36">
        <f t="shared" si="0"/>
        <v>2.7017744259872689E-2</v>
      </c>
      <c r="D25" s="25">
        <v>2724820.95</v>
      </c>
      <c r="E25" s="36">
        <f t="shared" si="1"/>
        <v>0.65615629186248081</v>
      </c>
      <c r="F25" s="25">
        <f>'7.2'!B23+'7.2'!D23+'7.2'!F23+'7.3'!B23+'7.3'!D23+'7.3'!F23+'7.4'!B23+'7.4'!D23+'7.4'!F23+'7.5'!B24+'7.5'!D24+'7.5'!F24+'7.6'!B25+'7.6'!D25</f>
        <v>627897448.8499999</v>
      </c>
      <c r="G25" s="36">
        <f t="shared" si="2"/>
        <v>-1.9671527693827628E-2</v>
      </c>
    </row>
    <row r="26" spans="1:7">
      <c r="A26" s="3">
        <v>2005</v>
      </c>
      <c r="B26" s="25">
        <v>10051297.4</v>
      </c>
      <c r="C26" s="36">
        <f t="shared" si="0"/>
        <v>2.479328916979795E-2</v>
      </c>
      <c r="D26" s="25">
        <v>2625566.65</v>
      </c>
      <c r="E26" s="36">
        <f t="shared" si="1"/>
        <v>-3.6425989751730392E-2</v>
      </c>
      <c r="F26" s="25">
        <f>'7.2'!B24+'7.2'!D24+'7.2'!F24+'7.3'!B24+'7.3'!D24+'7.3'!F24+'7.4'!B24+'7.4'!D24+'7.4'!F24+'7.5'!B25+'7.5'!D25+'7.5'!F25+'7.6'!B26+'7.6'!D26</f>
        <v>677645896.73000002</v>
      </c>
      <c r="G26" s="36">
        <f t="shared" si="2"/>
        <v>7.9230211830156216E-2</v>
      </c>
    </row>
    <row r="27" spans="1:7">
      <c r="A27" s="3">
        <v>2006</v>
      </c>
      <c r="B27" s="25">
        <v>10334784</v>
      </c>
      <c r="C27" s="36">
        <f t="shared" si="0"/>
        <v>2.8203980910961768E-2</v>
      </c>
      <c r="D27" s="25">
        <v>2355890</v>
      </c>
      <c r="E27" s="36">
        <f t="shared" si="1"/>
        <v>-0.10271178985305895</v>
      </c>
      <c r="F27" s="25">
        <f>'7.2'!B25+'7.2'!D25+'7.2'!F25+'7.3'!B25+'7.3'!D25+'7.3'!F25+'7.4'!B25+'7.4'!D25+'7.4'!F25+'7.5'!B26+'7.5'!D26+'7.5'!F26+'7.6'!B27+'7.6'!D27</f>
        <v>731929437.82000005</v>
      </c>
      <c r="G27" s="36">
        <f t="shared" si="2"/>
        <v>8.0106057384759177E-2</v>
      </c>
    </row>
    <row r="28" spans="1:7">
      <c r="A28" s="3">
        <v>2007</v>
      </c>
      <c r="B28" s="25">
        <v>10698409.949999999</v>
      </c>
      <c r="C28" s="36">
        <f t="shared" si="0"/>
        <v>3.5184668591041524E-2</v>
      </c>
      <c r="D28" s="25">
        <v>3298789.1</v>
      </c>
      <c r="E28" s="36">
        <f t="shared" si="1"/>
        <v>0.40023052859004449</v>
      </c>
      <c r="F28" s="25">
        <f>'7.2'!B26+'7.2'!D26+'7.2'!F26+'7.3'!B26+'7.3'!D26+'7.3'!F26+'7.4'!B26+'7.4'!D26+'7.4'!F26+'7.5'!B27+'7.5'!D27+'7.5'!F27+'7.6'!B28+'7.6'!D28</f>
        <v>815042721.48000002</v>
      </c>
      <c r="G28" s="36">
        <f t="shared" si="2"/>
        <v>0.11355368340908245</v>
      </c>
    </row>
    <row r="29" spans="1:7">
      <c r="A29" s="3">
        <v>2008</v>
      </c>
      <c r="B29" s="25">
        <v>11058876</v>
      </c>
      <c r="C29" s="36">
        <f t="shared" ref="C29:C39" si="3">B29/B28-1</f>
        <v>3.3693422824949915E-2</v>
      </c>
      <c r="D29" s="25">
        <v>2516700</v>
      </c>
      <c r="E29" s="36">
        <f t="shared" ref="E29:E39" si="4">D29/D28-1</f>
        <v>-0.23708369231606841</v>
      </c>
      <c r="F29" s="25">
        <f>'7.2'!B27+'7.2'!D27+'7.2'!F27+'7.3'!B27+'7.3'!D27+'7.3'!F27+'7.4'!B27+'7.4'!D27+'7.4'!F27+'7.5'!B28+'7.5'!D28+'7.5'!F28+'7.6'!B29+'7.6'!D29</f>
        <v>861592647.98000002</v>
      </c>
      <c r="G29" s="36">
        <f t="shared" ref="G29:G39" si="5">F29/F28-1</f>
        <v>5.7113480401949968E-2</v>
      </c>
    </row>
    <row r="30" spans="1:7">
      <c r="A30" s="3">
        <v>2009</v>
      </c>
      <c r="B30" s="25">
        <v>11470974.15</v>
      </c>
      <c r="C30" s="36">
        <f t="shared" si="3"/>
        <v>3.726401760902287E-2</v>
      </c>
      <c r="D30" s="25">
        <v>2763200</v>
      </c>
      <c r="E30" s="36">
        <f t="shared" si="4"/>
        <v>9.7945722573210992E-2</v>
      </c>
      <c r="F30" s="25">
        <f>'7.2'!B28+'7.2'!D28+'7.2'!F28+'7.3'!B28+'7.3'!D28+'7.3'!F28+'7.4'!B28+'7.4'!D28+'7.4'!F28+'7.5'!B29+'7.5'!D29+'7.5'!F29+'7.6'!B30+'7.6'!D30</f>
        <v>778280821.32999992</v>
      </c>
      <c r="G30" s="36">
        <f t="shared" si="5"/>
        <v>-9.6695145722661691E-2</v>
      </c>
    </row>
    <row r="31" spans="1:7">
      <c r="A31" s="3">
        <v>2010</v>
      </c>
      <c r="B31" s="25">
        <v>11236312</v>
      </c>
      <c r="C31" s="36">
        <f t="shared" si="3"/>
        <v>-2.0457037644008635E-2</v>
      </c>
      <c r="D31" s="25">
        <v>3895389</v>
      </c>
      <c r="E31" s="36">
        <f t="shared" si="4"/>
        <v>0.4097383468442386</v>
      </c>
      <c r="F31" s="25">
        <f>'7.2'!B29+'7.2'!D29+'7.2'!F29+'7.3'!B29+'7.3'!D29+'7.3'!F29+'7.4'!B29+'7.4'!D29+'7.4'!F29+'7.5'!B30+'7.5'!D30+'7.5'!F30+'7.6'!B31+'7.6'!D31</f>
        <v>788086905.09999979</v>
      </c>
      <c r="G31" s="36">
        <f t="shared" si="5"/>
        <v>1.2599672896014935E-2</v>
      </c>
    </row>
    <row r="32" spans="1:7">
      <c r="A32" s="3">
        <v>2011</v>
      </c>
      <c r="B32" s="25">
        <v>11804927</v>
      </c>
      <c r="C32" s="36">
        <f t="shared" si="3"/>
        <v>5.0605127376313508E-2</v>
      </c>
      <c r="D32" s="25">
        <v>5357701</v>
      </c>
      <c r="E32" s="36">
        <f t="shared" si="4"/>
        <v>0.37539562801045023</v>
      </c>
      <c r="F32" s="25">
        <f>'7.2'!B30+'7.2'!D30+'7.2'!F30+'7.3'!B30+'7.3'!D30+'7.3'!F30+'7.4'!B30+'7.4'!D30+'7.4'!F30+'7.5'!B31+'7.5'!D31+'7.5'!F31+'7.6'!B32+'7.6'!D32</f>
        <v>768352729.8900001</v>
      </c>
      <c r="G32" s="36">
        <f t="shared" si="5"/>
        <v>-2.504060793586671E-2</v>
      </c>
    </row>
    <row r="33" spans="1:7">
      <c r="A33" s="3">
        <v>2012</v>
      </c>
      <c r="B33" s="25">
        <v>12145761</v>
      </c>
      <c r="C33" s="36">
        <f t="shared" si="3"/>
        <v>2.8872181928782714E-2</v>
      </c>
      <c r="D33" s="25">
        <v>4962700</v>
      </c>
      <c r="E33" s="36">
        <f t="shared" si="4"/>
        <v>-7.3725838750613337E-2</v>
      </c>
      <c r="F33" s="25">
        <f>'7.2'!B31+'7.2'!D31+'7.2'!F31+'7.3'!B31+'7.3'!D31+'7.3'!F31+'7.4'!B31+'7.4'!D31+'7.4'!F31+'7.5'!B32+'7.5'!D32+'7.6'!B33+'7.6'!D33</f>
        <v>831391579.52000022</v>
      </c>
      <c r="G33" s="36">
        <f t="shared" si="5"/>
        <v>8.2044153912259832E-2</v>
      </c>
    </row>
    <row r="34" spans="1:7">
      <c r="A34" s="3">
        <v>2013</v>
      </c>
      <c r="B34" s="25">
        <v>12318327</v>
      </c>
      <c r="C34" s="36">
        <f t="shared" si="3"/>
        <v>1.420791994836712E-2</v>
      </c>
      <c r="D34" s="25">
        <v>7867700</v>
      </c>
      <c r="E34" s="36">
        <f t="shared" si="4"/>
        <v>0.58536683660104383</v>
      </c>
      <c r="F34" s="25">
        <f>'7.2'!B32+'7.2'!D32+'7.2'!F32+'7.3'!B32+'7.3'!D32+'7.3'!F32+'7.4'!B32+'7.4'!D32+'7.4'!F32+'7.5'!B33+'7.5'!D33+'7.5'!F33+'7.6'!B34+'7.6'!D34</f>
        <v>649168598.18000007</v>
      </c>
      <c r="G34" s="36">
        <f t="shared" si="5"/>
        <v>-0.21917828593501709</v>
      </c>
    </row>
    <row r="35" spans="1:7">
      <c r="A35" s="3">
        <v>2014</v>
      </c>
      <c r="B35" s="25">
        <v>14300275</v>
      </c>
      <c r="C35" s="36">
        <f t="shared" si="3"/>
        <v>0.16089425130539237</v>
      </c>
      <c r="D35" s="25">
        <v>8081011</v>
      </c>
      <c r="E35" s="36">
        <f t="shared" si="4"/>
        <v>2.7112243730696317E-2</v>
      </c>
      <c r="F35" s="25">
        <f>'7.2'!B33+'7.2'!D33+'7.2'!F33+'7.3'!B33+'7.3'!D33+'7.3'!F33+'7.4'!B33+'7.4'!D33+'7.4'!F33+'7.5'!B34+'7.5'!D34+'7.5'!F34+'7.6'!B35+'7.6'!D35</f>
        <v>728272833.68000007</v>
      </c>
      <c r="G35" s="36">
        <f t="shared" si="5"/>
        <v>0.12185468570379943</v>
      </c>
    </row>
    <row r="36" spans="1:7">
      <c r="A36" s="3">
        <v>2015</v>
      </c>
      <c r="B36" s="25">
        <v>14542343</v>
      </c>
      <c r="C36" s="36">
        <f t="shared" si="3"/>
        <v>1.6927506638858336E-2</v>
      </c>
      <c r="D36" s="25">
        <v>9854776</v>
      </c>
      <c r="E36" s="36">
        <f t="shared" si="4"/>
        <v>0.21949790688318571</v>
      </c>
      <c r="F36" s="25">
        <f>'7.2'!B34+'7.2'!D34+'7.2'!F34+'7.3'!B34+'7.3'!D34+'7.3'!F34+'7.4'!B34+'7.4'!D34+'7.4'!F34+'7.5'!B35+'7.5'!D35+'7.5'!F35+'7.6'!B36+'7.6'!D36</f>
        <v>821262966</v>
      </c>
      <c r="G36" s="36">
        <f t="shared" si="5"/>
        <v>0.12768584522110493</v>
      </c>
    </row>
    <row r="37" spans="1:7">
      <c r="A37" s="3">
        <v>2016</v>
      </c>
      <c r="B37" s="25">
        <v>14814130</v>
      </c>
      <c r="C37" s="36">
        <f t="shared" si="3"/>
        <v>1.8689354253300205E-2</v>
      </c>
      <c r="D37" s="25">
        <v>10363000</v>
      </c>
      <c r="E37" s="36">
        <f t="shared" si="4"/>
        <v>5.1571339622534351E-2</v>
      </c>
      <c r="F37" s="25">
        <f>'7.2'!B35+'7.2'!D35+'7.2'!F35+'7.3'!B35+'7.3'!D35+'7.3'!F35+'7.4'!B35+'7.4'!D35+'7.4'!F35+'7.5'!B36+'7.5'!D36+'7.5'!F36+'7.6'!B37+'7.6'!D37</f>
        <v>807810597.96000004</v>
      </c>
      <c r="G37" s="36">
        <f t="shared" si="5"/>
        <v>-1.6380098210832972E-2</v>
      </c>
    </row>
    <row r="38" spans="1:7">
      <c r="A38" s="3">
        <v>2017</v>
      </c>
      <c r="B38" s="25">
        <v>15088995</v>
      </c>
      <c r="C38" s="36">
        <f t="shared" si="3"/>
        <v>1.8554245169982941E-2</v>
      </c>
      <c r="D38" s="25">
        <v>10867000</v>
      </c>
      <c r="E38" s="36">
        <f t="shared" si="4"/>
        <v>4.8634565280324171E-2</v>
      </c>
      <c r="F38" s="25">
        <f>'7.2'!B36+'7.2'!D36+'7.2'!F36+'7.3'!B36+'7.3'!D36+'7.3'!F36+'7.4'!B36+'7.4'!D36+'7.4'!F36+'7.5'!B37+'7.5'!D37+'7.5'!F37+'7.6'!B38+'7.6'!D38</f>
        <v>812745196.8900001</v>
      </c>
      <c r="G38" s="36">
        <f t="shared" si="5"/>
        <v>6.1086088031794272E-3</v>
      </c>
    </row>
    <row r="39" spans="1:7">
      <c r="A39" s="3">
        <v>2018</v>
      </c>
      <c r="B39" s="25">
        <v>15314609</v>
      </c>
      <c r="C39" s="36">
        <f t="shared" si="3"/>
        <v>1.4952221801385779E-2</v>
      </c>
      <c r="D39" s="25">
        <v>9137500</v>
      </c>
      <c r="E39" s="36">
        <f t="shared" si="4"/>
        <v>-0.15915155976810524</v>
      </c>
      <c r="F39" s="25">
        <f>'7.2'!B37+'7.2'!D37+'7.2'!F37+'7.3'!B37+'7.3'!D37+'7.3'!F37+'7.4'!B37+'7.4'!D37+'7.4'!F37+'7.5'!B38+'7.5'!D38+'7.5'!F38+'7.6'!B39+'7.6'!D39</f>
        <v>850017972</v>
      </c>
      <c r="G39" s="36">
        <f t="shared" si="5"/>
        <v>4.5860344979737233E-2</v>
      </c>
    </row>
    <row r="40" spans="1:7">
      <c r="A40" s="3">
        <v>2019</v>
      </c>
      <c r="B40" s="25">
        <v>15434413</v>
      </c>
      <c r="C40" s="36">
        <f>B40/B39-1</f>
        <v>7.8228572469594138E-3</v>
      </c>
      <c r="D40" s="25">
        <v>9175000</v>
      </c>
      <c r="E40" s="36">
        <f>D40/D39-1</f>
        <v>4.1039671682625567E-3</v>
      </c>
      <c r="F40" s="25">
        <f>'7.2'!B38+'7.2'!D38+'7.2'!F38+'7.3'!B38+'7.3'!D38+'7.3'!F38+'7.4'!B38+'7.4'!D38+'7.4'!F38+'7.5'!B39+'7.5'!D39+'7.5'!F39+'7.6'!B40+'7.6'!D40</f>
        <v>883688829</v>
      </c>
      <c r="G40" s="36">
        <f>F40/F39-1</f>
        <v>3.9611935405055254E-2</v>
      </c>
    </row>
    <row r="41" spans="1:7">
      <c r="A41" s="3">
        <v>2020</v>
      </c>
      <c r="B41" s="25">
        <v>15426851</v>
      </c>
      <c r="C41" s="36">
        <f>B41/B40-1</f>
        <v>-4.8994412680292143E-4</v>
      </c>
      <c r="D41" s="25">
        <v>10400000</v>
      </c>
      <c r="E41" s="36">
        <f>D41/D40-1</f>
        <v>0.13351498637602188</v>
      </c>
      <c r="F41" s="25">
        <f>'7.2'!B39+'7.2'!D39+'7.2'!F39+'7.3'!B39+'7.3'!D39+'7.3'!F39+'7.4'!B39+'7.4'!D39+'7.4'!F39+'7.5'!B40+'7.5'!D40+'7.5'!F40+'7.6'!B41+'7.6'!D41</f>
        <v>1201821499</v>
      </c>
      <c r="G41" s="36">
        <f>F41/F40-1</f>
        <v>0.36000530906337835</v>
      </c>
    </row>
    <row r="42" spans="1:7">
      <c r="C42" s="36"/>
      <c r="E42" s="36"/>
      <c r="G42" s="36"/>
    </row>
    <row r="43" spans="1:7">
      <c r="A43" s="3" t="s">
        <v>79</v>
      </c>
      <c r="C43" s="36">
        <f>(B41/B11)^(1/30)-1</f>
        <v>4.2389932519809603E-2</v>
      </c>
      <c r="E43" s="36">
        <f>(D41/D11)^(1/30)-1</f>
        <v>5.6668143915342029E-2</v>
      </c>
      <c r="G43" s="36">
        <f>(F41/F11)^(1/30)-1</f>
        <v>5.0186560660373747E-2</v>
      </c>
    </row>
    <row r="45" spans="1:7">
      <c r="A45" s="4" t="s">
        <v>143</v>
      </c>
    </row>
    <row r="46" spans="1:7">
      <c r="A46" s="3" t="s">
        <v>469</v>
      </c>
    </row>
  </sheetData>
  <customSheetViews>
    <customSheetView guid="{9E4C61FA-E6D1-438A-8921-8C22C886D6BA}" showRuler="0">
      <selection activeCell="A5" sqref="A5"/>
      <pageMargins left="0.78740157499999996" right="0.78740157499999996" top="0.984251969" bottom="0.984251969" header="0.4921259845" footer="0.4921259845"/>
      <headerFooter alignWithMargins="0"/>
    </customSheetView>
  </customSheetViews>
  <phoneticPr fontId="2" type="noConversion"/>
  <hyperlinks>
    <hyperlink ref="A4" location="Inhalt!A1" display="&lt;&lt;&lt; Inhalt" xr:uid="{D30F144D-57F5-4334-B87B-2729B5AA1671}"/>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23"/>
  <sheetViews>
    <sheetView workbookViewId="0">
      <selection activeCell="G24" sqref="G24"/>
    </sheetView>
  </sheetViews>
  <sheetFormatPr baseColWidth="10" defaultRowHeight="12.75"/>
  <cols>
    <col min="1" max="16384" width="11.42578125" style="3"/>
  </cols>
  <sheetData>
    <row r="1" spans="1:1" s="4" customFormat="1"/>
    <row r="3" spans="1:1">
      <c r="A3" s="4" t="s">
        <v>386</v>
      </c>
    </row>
    <row r="23" s="23" customFormat="1" ht="15.75"/>
  </sheetData>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7"/>
  <sheetViews>
    <sheetView zoomScaleNormal="100" workbookViewId="0">
      <selection activeCell="A4" sqref="A4"/>
    </sheetView>
  </sheetViews>
  <sheetFormatPr baseColWidth="10" defaultRowHeight="12.75"/>
  <cols>
    <col min="1" max="1" width="33.7109375" style="3" customWidth="1"/>
    <col min="2" max="4" width="15.7109375" style="3" customWidth="1"/>
    <col min="5" max="16384" width="11.42578125" style="3"/>
  </cols>
  <sheetData>
    <row r="1" spans="1:4" s="23" customFormat="1" ht="15.75">
      <c r="A1" s="23" t="s">
        <v>307</v>
      </c>
    </row>
    <row r="2" spans="1:4">
      <c r="A2" s="3" t="s">
        <v>246</v>
      </c>
    </row>
    <row r="4" spans="1:4">
      <c r="A4" s="40" t="s">
        <v>551</v>
      </c>
    </row>
    <row r="6" spans="1:4">
      <c r="A6" s="3" t="s">
        <v>499</v>
      </c>
    </row>
    <row r="8" spans="1:4" s="4" customFormat="1">
      <c r="A8" s="24"/>
      <c r="B8" s="24" t="s">
        <v>466</v>
      </c>
      <c r="C8" s="24" t="s">
        <v>480</v>
      </c>
      <c r="D8" s="24" t="s">
        <v>152</v>
      </c>
    </row>
    <row r="10" spans="1:4">
      <c r="A10" s="3" t="s">
        <v>334</v>
      </c>
      <c r="B10" s="25">
        <v>263710369</v>
      </c>
      <c r="C10" s="25">
        <v>271147617</v>
      </c>
      <c r="D10" s="26">
        <f>C10/B10-1</f>
        <v>2.8202334357205316E-2</v>
      </c>
    </row>
    <row r="11" spans="1:4">
      <c r="A11" s="3" t="s">
        <v>343</v>
      </c>
      <c r="B11" s="25">
        <v>-175911</v>
      </c>
      <c r="C11" s="25">
        <v>-590381</v>
      </c>
      <c r="D11" s="26">
        <f>C11/B11-1</f>
        <v>2.3561346362649296</v>
      </c>
    </row>
    <row r="12" spans="1:4">
      <c r="A12" s="3" t="s">
        <v>344</v>
      </c>
      <c r="B12" s="25">
        <f>B10-B11</f>
        <v>263886280</v>
      </c>
      <c r="C12" s="25">
        <f>C10-C11</f>
        <v>271737998</v>
      </c>
      <c r="D12" s="26">
        <f>C12/B12-1</f>
        <v>2.975417289599136E-2</v>
      </c>
    </row>
    <row r="13" spans="1:4">
      <c r="A13" s="3" t="s">
        <v>146</v>
      </c>
      <c r="B13" s="25">
        <v>113235510</v>
      </c>
      <c r="C13" s="25">
        <v>118397829</v>
      </c>
      <c r="D13" s="26">
        <f>C13/B13-1</f>
        <v>4.5589223733791595E-2</v>
      </c>
    </row>
    <row r="14" spans="1:4">
      <c r="A14" s="3" t="s">
        <v>147</v>
      </c>
      <c r="B14" s="25">
        <v>150650770</v>
      </c>
      <c r="C14" s="25">
        <v>153340169</v>
      </c>
      <c r="D14" s="26">
        <f>C14/B14-1</f>
        <v>1.7851876893825391E-2</v>
      </c>
    </row>
    <row r="15" spans="1:4">
      <c r="B15" s="25"/>
      <c r="C15" s="25"/>
      <c r="D15" s="26"/>
    </row>
    <row r="16" spans="1:4">
      <c r="A16" s="3" t="s">
        <v>144</v>
      </c>
      <c r="B16" s="25">
        <v>30959</v>
      </c>
      <c r="C16" s="25">
        <v>31195</v>
      </c>
      <c r="D16" s="26">
        <f>C16/B16-1</f>
        <v>7.6229852385412133E-3</v>
      </c>
    </row>
    <row r="17" spans="1:4">
      <c r="B17" s="25"/>
      <c r="C17" s="25"/>
      <c r="D17" s="26"/>
    </row>
    <row r="18" spans="1:4">
      <c r="A18" s="3" t="s">
        <v>151</v>
      </c>
      <c r="B18" s="25">
        <f t="shared" ref="B18" si="0">B12/B$16</f>
        <v>8523.7339707354895</v>
      </c>
      <c r="C18" s="25">
        <f t="shared" ref="C18:C20" si="1">C12/C$16</f>
        <v>8710.9472030774159</v>
      </c>
      <c r="D18" s="26">
        <f>C18/B18-1</f>
        <v>2.1963758252508292E-2</v>
      </c>
    </row>
    <row r="19" spans="1:4">
      <c r="A19" s="3" t="s">
        <v>149</v>
      </c>
      <c r="B19" s="25">
        <f t="shared" ref="B19" si="2">B13/B$16</f>
        <v>3657.5958525792175</v>
      </c>
      <c r="C19" s="25">
        <f t="shared" si="1"/>
        <v>3795.410450392691</v>
      </c>
      <c r="D19" s="26">
        <f>C19/B19-1</f>
        <v>3.7679011943402951E-2</v>
      </c>
    </row>
    <row r="20" spans="1:4">
      <c r="A20" s="3" t="s">
        <v>150</v>
      </c>
      <c r="B20" s="25">
        <f t="shared" ref="B20" si="3">B14/B$16</f>
        <v>4866.138118156271</v>
      </c>
      <c r="C20" s="25">
        <f t="shared" si="1"/>
        <v>4915.5367526847249</v>
      </c>
      <c r="D20" s="26">
        <f>C20/B20-1</f>
        <v>1.0151506868278259E-2</v>
      </c>
    </row>
    <row r="25" spans="1:4" s="23" customFormat="1" ht="15.75">
      <c r="A25" s="23" t="s">
        <v>308</v>
      </c>
    </row>
    <row r="26" spans="1:4">
      <c r="A26" s="3" t="s">
        <v>246</v>
      </c>
    </row>
    <row r="28" spans="1:4">
      <c r="A28" s="3" t="s">
        <v>500</v>
      </c>
    </row>
    <row r="30" spans="1:4" s="4" customFormat="1">
      <c r="A30" s="24"/>
      <c r="B30" s="24" t="str">
        <f>B8</f>
        <v>RJ 2019</v>
      </c>
      <c r="C30" s="24" t="str">
        <f>C8</f>
        <v>RJ 2020</v>
      </c>
      <c r="D30" s="24" t="s">
        <v>165</v>
      </c>
    </row>
    <row r="32" spans="1:4">
      <c r="A32" s="3" t="s">
        <v>344</v>
      </c>
      <c r="B32" s="25">
        <f>B12</f>
        <v>263886280</v>
      </c>
      <c r="C32" s="25">
        <f>C12</f>
        <v>271737998</v>
      </c>
      <c r="D32" s="26">
        <f>SUM(D34:D44)</f>
        <v>1</v>
      </c>
    </row>
    <row r="33" spans="1:4">
      <c r="B33" s="25"/>
      <c r="C33" s="25"/>
      <c r="D33" s="26"/>
    </row>
    <row r="34" spans="1:4">
      <c r="A34" s="3" t="s">
        <v>154</v>
      </c>
      <c r="B34" s="25">
        <v>20856136</v>
      </c>
      <c r="C34" s="25">
        <v>21428432</v>
      </c>
      <c r="D34" s="26">
        <f t="shared" ref="D34:D44" si="4">C34/C$32</f>
        <v>7.8856958385334103E-2</v>
      </c>
    </row>
    <row r="35" spans="1:4">
      <c r="A35" s="3" t="s">
        <v>155</v>
      </c>
      <c r="B35" s="25">
        <v>25274693</v>
      </c>
      <c r="C35" s="25">
        <v>23834220</v>
      </c>
      <c r="D35" s="26">
        <f t="shared" si="4"/>
        <v>8.7710295120375467E-2</v>
      </c>
    </row>
    <row r="36" spans="1:4">
      <c r="A36" s="3" t="s">
        <v>156</v>
      </c>
      <c r="B36" s="25">
        <v>11440077</v>
      </c>
      <c r="C36" s="25">
        <v>13638800</v>
      </c>
      <c r="D36" s="26">
        <f t="shared" si="4"/>
        <v>5.019099316393727E-2</v>
      </c>
    </row>
    <row r="37" spans="1:4">
      <c r="A37" s="3" t="s">
        <v>157</v>
      </c>
      <c r="B37" s="25">
        <v>73285965</v>
      </c>
      <c r="C37" s="25">
        <v>73557398</v>
      </c>
      <c r="D37" s="26">
        <f t="shared" si="4"/>
        <v>0.27069235271248299</v>
      </c>
    </row>
    <row r="38" spans="1:4">
      <c r="A38" s="3" t="s">
        <v>158</v>
      </c>
      <c r="B38" s="25">
        <v>72744098</v>
      </c>
      <c r="C38" s="25">
        <v>76620588</v>
      </c>
      <c r="D38" s="26">
        <f t="shared" si="4"/>
        <v>0.28196493888940771</v>
      </c>
    </row>
    <row r="39" spans="1:4">
      <c r="A39" s="3" t="s">
        <v>159</v>
      </c>
      <c r="B39" s="25">
        <v>3156978</v>
      </c>
      <c r="C39" s="25">
        <v>3026986</v>
      </c>
      <c r="D39" s="26">
        <f t="shared" si="4"/>
        <v>1.1139354901702044E-2</v>
      </c>
    </row>
    <row r="40" spans="1:4">
      <c r="A40" s="3" t="s">
        <v>160</v>
      </c>
      <c r="B40" s="25">
        <v>18093148</v>
      </c>
      <c r="C40" s="25">
        <v>18646843</v>
      </c>
      <c r="D40" s="26">
        <f t="shared" si="4"/>
        <v>6.8620668207027863E-2</v>
      </c>
    </row>
    <row r="41" spans="1:4">
      <c r="A41" s="3" t="s">
        <v>161</v>
      </c>
      <c r="B41" s="25">
        <v>19133544</v>
      </c>
      <c r="C41" s="25">
        <v>19935494</v>
      </c>
      <c r="D41" s="26">
        <f t="shared" si="4"/>
        <v>7.3362923649713502E-2</v>
      </c>
    </row>
    <row r="42" spans="1:4">
      <c r="A42" s="3" t="s">
        <v>162</v>
      </c>
      <c r="B42" s="25">
        <v>7281436</v>
      </c>
      <c r="C42" s="25">
        <v>8102144</v>
      </c>
      <c r="D42" s="26">
        <f t="shared" si="4"/>
        <v>2.9816014174064827E-2</v>
      </c>
    </row>
    <row r="43" spans="1:4">
      <c r="A43" s="3" t="s">
        <v>163</v>
      </c>
      <c r="B43" s="25">
        <v>3188031</v>
      </c>
      <c r="C43" s="25">
        <v>3556156</v>
      </c>
      <c r="D43" s="26">
        <f t="shared" si="4"/>
        <v>1.3086708617026023E-2</v>
      </c>
    </row>
    <row r="44" spans="1:4">
      <c r="A44" s="3" t="s">
        <v>164</v>
      </c>
      <c r="B44" s="25">
        <v>9432174</v>
      </c>
      <c r="C44" s="25">
        <v>9390937</v>
      </c>
      <c r="D44" s="26">
        <f t="shared" si="4"/>
        <v>3.4558792178928176E-2</v>
      </c>
    </row>
    <row r="45" spans="1:4">
      <c r="B45" s="25"/>
      <c r="C45" s="25"/>
      <c r="D45" s="26"/>
    </row>
    <row r="46" spans="1:4">
      <c r="A46" s="4" t="s">
        <v>143</v>
      </c>
      <c r="B46" s="25"/>
      <c r="C46" s="25"/>
      <c r="D46" s="25"/>
    </row>
    <row r="47" spans="1:4">
      <c r="A47" s="3" t="s">
        <v>84</v>
      </c>
    </row>
  </sheetData>
  <customSheetViews>
    <customSheetView guid="{9E4C61FA-E6D1-438A-8921-8C22C886D6BA}" showRuler="0">
      <selection activeCell="D10" sqref="D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B6C73383-F3AF-41FD-8F38-1BAA68806ABE}"/>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1"/>
  <sheetViews>
    <sheetView zoomScaleNormal="100" workbookViewId="0">
      <selection activeCell="A4" sqref="A4"/>
    </sheetView>
  </sheetViews>
  <sheetFormatPr baseColWidth="10" defaultRowHeight="12.75"/>
  <cols>
    <col min="1" max="1" width="33.7109375" style="3" customWidth="1"/>
    <col min="2" max="4" width="15.7109375" style="3" customWidth="1"/>
    <col min="5" max="5" width="11.42578125" style="3"/>
    <col min="6" max="6" width="13.42578125" style="3" bestFit="1" customWidth="1"/>
    <col min="7" max="7" width="14.42578125" style="3" customWidth="1"/>
    <col min="8" max="16384" width="11.42578125" style="3"/>
  </cols>
  <sheetData>
    <row r="1" spans="1:4" s="23" customFormat="1" ht="15.75">
      <c r="A1" s="23" t="s">
        <v>309</v>
      </c>
    </row>
    <row r="2" spans="1:4">
      <c r="A2" s="3" t="s">
        <v>246</v>
      </c>
    </row>
    <row r="4" spans="1:4">
      <c r="A4" s="40" t="s">
        <v>551</v>
      </c>
    </row>
    <row r="6" spans="1:4">
      <c r="A6" s="3" t="s">
        <v>502</v>
      </c>
    </row>
    <row r="8" spans="1:4">
      <c r="A8" s="24"/>
      <c r="B8" s="24" t="s">
        <v>467</v>
      </c>
      <c r="C8" s="24" t="s">
        <v>481</v>
      </c>
      <c r="D8" s="24" t="s">
        <v>152</v>
      </c>
    </row>
    <row r="10" spans="1:4">
      <c r="A10" s="3" t="s">
        <v>166</v>
      </c>
      <c r="B10" s="25">
        <v>9664858652</v>
      </c>
      <c r="C10" s="25">
        <v>9965589468</v>
      </c>
      <c r="D10" s="26">
        <f t="shared" ref="D10:D26" si="0">C10/B10-1</f>
        <v>3.1115904208052658E-2</v>
      </c>
    </row>
    <row r="11" spans="1:4">
      <c r="A11" s="3" t="s">
        <v>291</v>
      </c>
      <c r="B11" s="25">
        <v>7298911295</v>
      </c>
      <c r="C11" s="25">
        <v>7419515842</v>
      </c>
      <c r="D11" s="26">
        <f t="shared" si="0"/>
        <v>1.6523635118379731E-2</v>
      </c>
    </row>
    <row r="12" spans="1:4">
      <c r="A12" s="3" t="s">
        <v>292</v>
      </c>
      <c r="B12" s="25">
        <v>2365947357</v>
      </c>
      <c r="C12" s="25">
        <v>2546073626</v>
      </c>
      <c r="D12" s="26">
        <f t="shared" si="0"/>
        <v>7.6132830456717482E-2</v>
      </c>
    </row>
    <row r="13" spans="1:4">
      <c r="A13" s="3" t="s">
        <v>78</v>
      </c>
      <c r="B13" s="25">
        <v>587724159</v>
      </c>
      <c r="C13" s="25">
        <v>575679024</v>
      </c>
      <c r="D13" s="26">
        <f t="shared" si="0"/>
        <v>-2.0494537812593139E-2</v>
      </c>
    </row>
    <row r="14" spans="1:4">
      <c r="A14" s="3" t="s">
        <v>167</v>
      </c>
      <c r="B14" s="25">
        <v>25366897005</v>
      </c>
      <c r="C14" s="25">
        <v>24553671818</v>
      </c>
      <c r="D14" s="26">
        <f t="shared" si="0"/>
        <v>-3.2058520474132379E-2</v>
      </c>
    </row>
    <row r="15" spans="1:4">
      <c r="A15" s="3" t="s">
        <v>295</v>
      </c>
      <c r="B15" s="25">
        <v>5330942485</v>
      </c>
      <c r="C15" s="25">
        <v>5654374734</v>
      </c>
      <c r="D15" s="26">
        <f t="shared" si="0"/>
        <v>6.0670744415281419E-2</v>
      </c>
    </row>
    <row r="16" spans="1:4">
      <c r="A16" s="3" t="s">
        <v>296</v>
      </c>
      <c r="B16" s="25">
        <v>5223510958</v>
      </c>
      <c r="C16" s="25">
        <v>4882387260</v>
      </c>
      <c r="D16" s="26">
        <f t="shared" si="0"/>
        <v>-6.5305443167024801E-2</v>
      </c>
    </row>
    <row r="17" spans="1:4">
      <c r="A17" s="3" t="s">
        <v>297</v>
      </c>
      <c r="B17" s="25">
        <v>2869922947</v>
      </c>
      <c r="C17" s="25">
        <v>2929640706</v>
      </c>
      <c r="D17" s="26">
        <f t="shared" si="0"/>
        <v>2.0808140184538582E-2</v>
      </c>
    </row>
    <row r="18" spans="1:4">
      <c r="A18" s="3" t="s">
        <v>305</v>
      </c>
      <c r="B18" s="25">
        <v>2298666069</v>
      </c>
      <c r="C18" s="25">
        <v>2163700161</v>
      </c>
      <c r="D18" s="26">
        <f t="shared" si="0"/>
        <v>-5.8714882435583537E-2</v>
      </c>
    </row>
    <row r="19" spans="1:4">
      <c r="A19" s="3" t="s">
        <v>345</v>
      </c>
      <c r="B19" s="25">
        <v>9031748759</v>
      </c>
      <c r="C19" s="25">
        <v>8204231222</v>
      </c>
      <c r="D19" s="26">
        <f t="shared" si="0"/>
        <v>-9.1623179417539835E-2</v>
      </c>
    </row>
    <row r="20" spans="1:4">
      <c r="A20" s="3" t="s">
        <v>362</v>
      </c>
      <c r="B20" s="25">
        <v>254452897</v>
      </c>
      <c r="C20" s="25">
        <v>259921481</v>
      </c>
      <c r="D20" s="26">
        <f t="shared" si="0"/>
        <v>2.1491537587013498E-2</v>
      </c>
    </row>
    <row r="21" spans="1:4">
      <c r="A21" s="3" t="s">
        <v>363</v>
      </c>
      <c r="B21" s="25">
        <v>56322536</v>
      </c>
      <c r="C21" s="25">
        <v>55426927</v>
      </c>
      <c r="D21" s="26">
        <f t="shared" si="0"/>
        <v>-1.5901432421295825E-2</v>
      </c>
    </row>
    <row r="22" spans="1:4">
      <c r="A22" s="3" t="s">
        <v>364</v>
      </c>
      <c r="B22" s="25">
        <v>107560905</v>
      </c>
      <c r="C22" s="25">
        <v>112113672</v>
      </c>
      <c r="D22" s="26">
        <f t="shared" si="0"/>
        <v>4.2327340031212968E-2</v>
      </c>
    </row>
    <row r="23" spans="1:4">
      <c r="A23" s="3" t="s">
        <v>365</v>
      </c>
      <c r="B23" s="25">
        <v>193769449</v>
      </c>
      <c r="C23" s="25">
        <v>291875655</v>
      </c>
      <c r="D23" s="26">
        <f t="shared" si="0"/>
        <v>0.50630378785873509</v>
      </c>
    </row>
    <row r="24" spans="1:4">
      <c r="A24" s="3" t="s">
        <v>168</v>
      </c>
      <c r="B24" s="25">
        <v>35619479816</v>
      </c>
      <c r="C24" s="25">
        <v>35094940310</v>
      </c>
      <c r="D24" s="26">
        <f t="shared" si="0"/>
        <v>-1.47261978195532E-2</v>
      </c>
    </row>
    <row r="25" spans="1:4">
      <c r="A25" s="3" t="s">
        <v>169</v>
      </c>
      <c r="B25" s="25">
        <v>8867259768</v>
      </c>
      <c r="C25" s="25">
        <v>8965804699</v>
      </c>
      <c r="D25" s="26">
        <f t="shared" si="0"/>
        <v>1.1113346578119465E-2</v>
      </c>
    </row>
    <row r="26" spans="1:4">
      <c r="A26" s="3" t="s">
        <v>184</v>
      </c>
      <c r="B26" s="25">
        <v>26752220048</v>
      </c>
      <c r="C26" s="25">
        <v>26129135611</v>
      </c>
      <c r="D26" s="26">
        <f t="shared" si="0"/>
        <v>-2.329094317712832E-2</v>
      </c>
    </row>
    <row r="31" spans="1:4" s="23" customFormat="1" ht="15.75">
      <c r="A31" s="23" t="s">
        <v>310</v>
      </c>
    </row>
    <row r="32" spans="1:4">
      <c r="A32" s="3" t="s">
        <v>246</v>
      </c>
    </row>
    <row r="34" spans="1:4">
      <c r="A34" s="3" t="s">
        <v>501</v>
      </c>
    </row>
    <row r="36" spans="1:4">
      <c r="A36" s="24"/>
      <c r="B36" s="24" t="s">
        <v>467</v>
      </c>
      <c r="C36" s="24" t="s">
        <v>481</v>
      </c>
      <c r="D36" s="24" t="s">
        <v>152</v>
      </c>
    </row>
    <row r="38" spans="1:4">
      <c r="A38" s="3" t="s">
        <v>170</v>
      </c>
      <c r="B38" s="25">
        <v>1914539195</v>
      </c>
      <c r="C38" s="25">
        <v>2017616070</v>
      </c>
      <c r="D38" s="26">
        <f t="shared" ref="D38:D45" si="1">C38/B38-1</f>
        <v>5.383899962413663E-2</v>
      </c>
    </row>
    <row r="39" spans="1:4">
      <c r="A39" s="3" t="s">
        <v>171</v>
      </c>
      <c r="B39" s="25">
        <v>124532601</v>
      </c>
      <c r="C39" s="25">
        <v>128666184</v>
      </c>
      <c r="D39" s="26">
        <f t="shared" si="1"/>
        <v>3.3192778170593185E-2</v>
      </c>
    </row>
    <row r="40" spans="1:4">
      <c r="A40" s="3" t="s">
        <v>172</v>
      </c>
      <c r="B40" s="25">
        <v>515026936</v>
      </c>
      <c r="C40" s="25">
        <v>514739993</v>
      </c>
      <c r="D40" s="26">
        <f t="shared" si="1"/>
        <v>-5.5714173365095654E-4</v>
      </c>
    </row>
    <row r="41" spans="1:4">
      <c r="A41" s="3" t="s">
        <v>229</v>
      </c>
      <c r="B41" s="25">
        <v>1107603936</v>
      </c>
      <c r="C41" s="25">
        <v>1078642045</v>
      </c>
      <c r="D41" s="26">
        <f t="shared" si="1"/>
        <v>-2.6148237703626176E-2</v>
      </c>
    </row>
    <row r="42" spans="1:4">
      <c r="A42" s="3" t="s">
        <v>294</v>
      </c>
      <c r="B42" s="25">
        <v>1080849221</v>
      </c>
      <c r="C42" s="25">
        <v>1051800093</v>
      </c>
      <c r="D42" s="26">
        <f t="shared" si="1"/>
        <v>-2.6876207555688314E-2</v>
      </c>
    </row>
    <row r="43" spans="1:4">
      <c r="A43" s="3" t="s">
        <v>173</v>
      </c>
      <c r="B43" s="25">
        <v>3522021519</v>
      </c>
      <c r="C43" s="25">
        <v>3607427299</v>
      </c>
      <c r="D43" s="26">
        <f t="shared" si="1"/>
        <v>2.4249079552543185E-2</v>
      </c>
    </row>
    <row r="44" spans="1:4">
      <c r="A44" s="3" t="s">
        <v>81</v>
      </c>
      <c r="B44" s="25">
        <v>793125565</v>
      </c>
      <c r="C44" s="25">
        <v>835441755</v>
      </c>
      <c r="D44" s="26">
        <f t="shared" si="1"/>
        <v>5.3353708249210152E-2</v>
      </c>
    </row>
    <row r="45" spans="1:4">
      <c r="A45" s="3" t="s">
        <v>174</v>
      </c>
      <c r="B45" s="25">
        <v>2735016872</v>
      </c>
      <c r="C45" s="25">
        <v>2778817157</v>
      </c>
      <c r="D45" s="26">
        <f t="shared" si="1"/>
        <v>1.6014630640274863E-2</v>
      </c>
    </row>
    <row r="47" spans="1:4">
      <c r="A47" s="4" t="s">
        <v>306</v>
      </c>
    </row>
    <row r="48" spans="1:4">
      <c r="A48" s="3" t="s">
        <v>293</v>
      </c>
    </row>
    <row r="50" spans="1:1">
      <c r="A50" s="4" t="s">
        <v>143</v>
      </c>
    </row>
    <row r="51" spans="1:1">
      <c r="A51" s="3" t="s">
        <v>153</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C00DFE39-B944-4C2A-883A-027A27451047}"/>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3"/>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267</v>
      </c>
    </row>
    <row r="2" spans="1:4">
      <c r="A2" s="3" t="s">
        <v>266</v>
      </c>
    </row>
    <row r="4" spans="1:4">
      <c r="A4" s="40" t="s">
        <v>551</v>
      </c>
    </row>
    <row r="6" spans="1:4">
      <c r="A6" s="3" t="s">
        <v>503</v>
      </c>
    </row>
    <row r="8" spans="1:4">
      <c r="A8" s="24"/>
      <c r="B8" s="24" t="s">
        <v>466</v>
      </c>
      <c r="C8" s="24" t="s">
        <v>480</v>
      </c>
      <c r="D8" s="24" t="s">
        <v>152</v>
      </c>
    </row>
    <row r="10" spans="1:4">
      <c r="A10" s="3" t="s">
        <v>334</v>
      </c>
      <c r="B10" s="25">
        <v>262785681</v>
      </c>
      <c r="C10" s="25">
        <v>564974369</v>
      </c>
      <c r="D10" s="26">
        <f t="shared" ref="D10:D16" si="0">C10/B10-1</f>
        <v>1.1499435085277723</v>
      </c>
    </row>
    <row r="11" spans="1:4">
      <c r="A11" s="3" t="s">
        <v>346</v>
      </c>
      <c r="B11" s="25">
        <v>-1036088</v>
      </c>
      <c r="C11" s="25">
        <v>1698341</v>
      </c>
      <c r="D11" s="26">
        <f t="shared" si="0"/>
        <v>-2.6391860536942806</v>
      </c>
    </row>
    <row r="12" spans="1:4">
      <c r="A12" s="3" t="s">
        <v>101</v>
      </c>
      <c r="B12" s="25">
        <f>B10-B11</f>
        <v>263821769</v>
      </c>
      <c r="C12" s="25">
        <f>C10-C11</f>
        <v>563276028</v>
      </c>
      <c r="D12" s="26">
        <f t="shared" si="0"/>
        <v>1.1350627362369026</v>
      </c>
    </row>
    <row r="13" spans="1:4">
      <c r="A13" s="3" t="s">
        <v>335</v>
      </c>
      <c r="B13" s="25">
        <v>19419917</v>
      </c>
      <c r="C13" s="25">
        <v>18126265</v>
      </c>
      <c r="D13" s="26">
        <f t="shared" si="0"/>
        <v>-6.661470283317894E-2</v>
      </c>
    </row>
    <row r="14" spans="1:4">
      <c r="A14" s="3" t="s">
        <v>336</v>
      </c>
      <c r="B14" s="25">
        <f>B12-B13</f>
        <v>244401852</v>
      </c>
      <c r="C14" s="25">
        <f>C12-C13</f>
        <v>545149763</v>
      </c>
      <c r="D14" s="26">
        <f t="shared" si="0"/>
        <v>1.2305467758894069</v>
      </c>
    </row>
    <row r="15" spans="1:4">
      <c r="A15" s="3" t="s">
        <v>146</v>
      </c>
      <c r="B15" s="25">
        <v>176476849</v>
      </c>
      <c r="C15" s="25">
        <v>468441101</v>
      </c>
      <c r="D15" s="26">
        <f t="shared" si="0"/>
        <v>1.6544054002233461</v>
      </c>
    </row>
    <row r="16" spans="1:4">
      <c r="A16" s="3" t="s">
        <v>0</v>
      </c>
      <c r="B16" s="25">
        <v>67925003</v>
      </c>
      <c r="C16" s="25">
        <v>96533268</v>
      </c>
      <c r="D16" s="26">
        <f t="shared" si="0"/>
        <v>0.42117429129889028</v>
      </c>
    </row>
    <row r="17" spans="1:4">
      <c r="B17" s="25"/>
      <c r="C17" s="25"/>
      <c r="D17" s="26"/>
    </row>
    <row r="18" spans="1:4">
      <c r="A18" s="3" t="s">
        <v>144</v>
      </c>
      <c r="B18" s="25">
        <v>16200</v>
      </c>
      <c r="C18" s="25">
        <v>15184</v>
      </c>
      <c r="D18" s="26">
        <f>C18/B18-1</f>
        <v>-6.2716049382716021E-2</v>
      </c>
    </row>
    <row r="19" spans="1:4">
      <c r="B19" s="25"/>
      <c r="C19" s="25"/>
      <c r="D19" s="26"/>
    </row>
    <row r="20" spans="1:4">
      <c r="A20" s="3" t="s">
        <v>337</v>
      </c>
      <c r="B20" s="25">
        <f t="shared" ref="B20" si="1">B14/B$18</f>
        <v>15086.534074074074</v>
      </c>
      <c r="C20" s="25">
        <f>C14/C$18</f>
        <v>35902.908522128557</v>
      </c>
      <c r="D20" s="26">
        <f>C20/B20-1</f>
        <v>1.3797983251717856</v>
      </c>
    </row>
    <row r="21" spans="1:4">
      <c r="A21" s="3" t="s">
        <v>149</v>
      </c>
      <c r="B21" s="25">
        <f t="shared" ref="B21" si="2">B15/B$18</f>
        <v>10893.632654320987</v>
      </c>
      <c r="C21" s="25">
        <f t="shared" ref="C21:C22" si="3">C15/C$18</f>
        <v>30850.968190200212</v>
      </c>
      <c r="D21" s="26">
        <f>C21/B21-1</f>
        <v>1.8320184064553615</v>
      </c>
    </row>
    <row r="22" spans="1:4">
      <c r="A22" s="3" t="s">
        <v>150</v>
      </c>
      <c r="B22" s="25">
        <f t="shared" ref="B22" si="4">B16/B$18</f>
        <v>4192.901419753086</v>
      </c>
      <c r="C22" s="25">
        <f t="shared" si="3"/>
        <v>6357.5650684931506</v>
      </c>
      <c r="D22" s="26">
        <f>C22/B22-1</f>
        <v>0.51626867222352657</v>
      </c>
    </row>
    <row r="27" spans="1:4" s="23" customFormat="1" ht="15.75">
      <c r="A27" s="23" t="s">
        <v>277</v>
      </c>
    </row>
    <row r="28" spans="1:4">
      <c r="A28" s="3" t="s">
        <v>266</v>
      </c>
    </row>
    <row r="30" spans="1:4">
      <c r="A30" s="3" t="s">
        <v>504</v>
      </c>
    </row>
    <row r="32" spans="1:4">
      <c r="A32" s="24"/>
      <c r="B32" s="24" t="s">
        <v>466</v>
      </c>
      <c r="C32" s="24" t="s">
        <v>480</v>
      </c>
      <c r="D32" s="24" t="s">
        <v>165</v>
      </c>
    </row>
    <row r="34" spans="1:4">
      <c r="A34" s="3" t="s">
        <v>336</v>
      </c>
      <c r="B34" s="25">
        <f>B14</f>
        <v>244401852</v>
      </c>
      <c r="C34" s="25">
        <f>C14</f>
        <v>545149763</v>
      </c>
      <c r="D34" s="26">
        <f>SUM(D36:D46)</f>
        <v>1</v>
      </c>
    </row>
    <row r="35" spans="1:4">
      <c r="B35" s="25"/>
      <c r="C35" s="25"/>
      <c r="D35" s="26"/>
    </row>
    <row r="36" spans="1:4">
      <c r="A36" s="3" t="s">
        <v>154</v>
      </c>
      <c r="B36" s="25">
        <v>11611245</v>
      </c>
      <c r="C36" s="25">
        <v>11168425</v>
      </c>
      <c r="D36" s="26">
        <f t="shared" ref="D36:D46" si="5">C36/C$34</f>
        <v>2.0486893250286527E-2</v>
      </c>
    </row>
    <row r="37" spans="1:4">
      <c r="A37" s="3" t="s">
        <v>155</v>
      </c>
      <c r="B37" s="25">
        <v>31422917</v>
      </c>
      <c r="C37" s="25">
        <v>18724920</v>
      </c>
      <c r="D37" s="26">
        <f t="shared" si="5"/>
        <v>3.4348212676376048E-2</v>
      </c>
    </row>
    <row r="38" spans="1:4">
      <c r="A38" s="3" t="s">
        <v>156</v>
      </c>
      <c r="B38" s="25">
        <v>1819143</v>
      </c>
      <c r="C38" s="25">
        <v>1454269</v>
      </c>
      <c r="D38" s="26">
        <f t="shared" si="5"/>
        <v>2.6676504305845217E-3</v>
      </c>
    </row>
    <row r="39" spans="1:4">
      <c r="A39" s="3" t="s">
        <v>157</v>
      </c>
      <c r="B39" s="25">
        <v>95353273</v>
      </c>
      <c r="C39" s="25">
        <v>390845121</v>
      </c>
      <c r="D39" s="26">
        <f t="shared" si="5"/>
        <v>0.71694999709648599</v>
      </c>
    </row>
    <row r="40" spans="1:4">
      <c r="A40" s="3" t="s">
        <v>158</v>
      </c>
      <c r="B40" s="25">
        <v>58438509</v>
      </c>
      <c r="C40" s="25">
        <v>74210311</v>
      </c>
      <c r="D40" s="26">
        <f t="shared" si="5"/>
        <v>0.13612830094911002</v>
      </c>
    </row>
    <row r="41" spans="1:4">
      <c r="A41" s="3" t="s">
        <v>159</v>
      </c>
      <c r="B41" s="25">
        <v>152134</v>
      </c>
      <c r="C41" s="25">
        <v>127610</v>
      </c>
      <c r="D41" s="26">
        <f t="shared" si="5"/>
        <v>2.3408246441813092E-4</v>
      </c>
    </row>
    <row r="42" spans="1:4">
      <c r="A42" s="3" t="s">
        <v>160</v>
      </c>
      <c r="B42" s="25">
        <v>8517392</v>
      </c>
      <c r="C42" s="25">
        <v>9700416</v>
      </c>
      <c r="D42" s="26">
        <f t="shared" si="5"/>
        <v>1.7794038736471028E-2</v>
      </c>
    </row>
    <row r="43" spans="1:4">
      <c r="A43" s="3" t="s">
        <v>161</v>
      </c>
      <c r="B43" s="25">
        <v>8830298</v>
      </c>
      <c r="C43" s="25">
        <v>8287063</v>
      </c>
      <c r="D43" s="26">
        <f t="shared" si="5"/>
        <v>1.5201442910652058E-2</v>
      </c>
    </row>
    <row r="44" spans="1:4">
      <c r="A44" s="3" t="s">
        <v>162</v>
      </c>
      <c r="B44" s="25">
        <v>13286863</v>
      </c>
      <c r="C44" s="25">
        <v>12301600</v>
      </c>
      <c r="D44" s="26">
        <f t="shared" si="5"/>
        <v>2.2565542232474565E-2</v>
      </c>
    </row>
    <row r="45" spans="1:4">
      <c r="A45" s="3" t="s">
        <v>163</v>
      </c>
      <c r="B45" s="25">
        <v>170058</v>
      </c>
      <c r="C45" s="25">
        <v>203475</v>
      </c>
      <c r="D45" s="26">
        <f t="shared" si="5"/>
        <v>3.7324605789106801E-4</v>
      </c>
    </row>
    <row r="46" spans="1:4">
      <c r="A46" s="3" t="s">
        <v>164</v>
      </c>
      <c r="B46" s="25">
        <v>14800020</v>
      </c>
      <c r="C46" s="25">
        <v>18126553</v>
      </c>
      <c r="D46" s="26">
        <f t="shared" si="5"/>
        <v>3.3250593195250089E-2</v>
      </c>
    </row>
    <row r="48" spans="1:4">
      <c r="A48" s="4" t="s">
        <v>306</v>
      </c>
    </row>
    <row r="49" spans="1:4" ht="27.75" customHeight="1">
      <c r="A49" s="21" t="s">
        <v>347</v>
      </c>
      <c r="B49" s="21"/>
      <c r="C49" s="21"/>
      <c r="D49" s="21"/>
    </row>
    <row r="50" spans="1:4" ht="69" customHeight="1">
      <c r="A50" s="21" t="s">
        <v>487</v>
      </c>
      <c r="B50" s="21"/>
      <c r="C50" s="21"/>
      <c r="D50" s="21"/>
    </row>
    <row r="52" spans="1:4">
      <c r="A52" s="4" t="s">
        <v>143</v>
      </c>
    </row>
    <row r="53" spans="1:4">
      <c r="A53" s="3" t="s">
        <v>153</v>
      </c>
    </row>
  </sheetData>
  <mergeCells count="2">
    <mergeCell ref="A50:D50"/>
    <mergeCell ref="A49:D49"/>
  </mergeCells>
  <hyperlinks>
    <hyperlink ref="A4" location="Inhalt!A1" display="&lt;&lt;&lt; Inhalt" xr:uid="{01ED7C94-F30C-4F18-B8B5-FDBC98A1B9D9}"/>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7"/>
  <sheetViews>
    <sheetView zoomScaleNormal="100" workbookViewId="0">
      <selection activeCell="A4" sqref="A4"/>
    </sheetView>
  </sheetViews>
  <sheetFormatPr baseColWidth="10" defaultRowHeight="12.75"/>
  <cols>
    <col min="1" max="1" width="37.7109375" style="3" customWidth="1"/>
    <col min="2" max="4" width="15.7109375" style="3" customWidth="1"/>
    <col min="5" max="16384" width="11.42578125" style="3"/>
  </cols>
  <sheetData>
    <row r="1" spans="1:4" s="23" customFormat="1" ht="15.75">
      <c r="A1" s="23" t="s">
        <v>268</v>
      </c>
    </row>
    <row r="2" spans="1:4">
      <c r="A2" s="3" t="s">
        <v>266</v>
      </c>
    </row>
    <row r="4" spans="1:4">
      <c r="A4" s="40" t="s">
        <v>551</v>
      </c>
    </row>
    <row r="6" spans="1:4">
      <c r="A6" s="3" t="s">
        <v>505</v>
      </c>
    </row>
    <row r="8" spans="1:4">
      <c r="A8" s="24"/>
      <c r="B8" s="24" t="s">
        <v>467</v>
      </c>
      <c r="C8" s="24" t="s">
        <v>481</v>
      </c>
      <c r="D8" s="24" t="s">
        <v>152</v>
      </c>
    </row>
    <row r="10" spans="1:4">
      <c r="A10" s="3" t="s">
        <v>101</v>
      </c>
      <c r="B10" s="25">
        <v>518142298</v>
      </c>
      <c r="C10" s="25">
        <v>215191357</v>
      </c>
      <c r="D10" s="26">
        <f>C10/B10-1</f>
        <v>-0.58468675915742363</v>
      </c>
    </row>
    <row r="11" spans="1:4">
      <c r="B11" s="25"/>
      <c r="C11" s="25"/>
      <c r="D11" s="26"/>
    </row>
    <row r="12" spans="1:4">
      <c r="A12" s="3" t="s">
        <v>144</v>
      </c>
      <c r="B12" s="25">
        <v>13254</v>
      </c>
      <c r="C12" s="25">
        <v>12803</v>
      </c>
      <c r="D12" s="26">
        <f>C12/B12-1</f>
        <v>-3.4027463407273251E-2</v>
      </c>
    </row>
    <row r="13" spans="1:4">
      <c r="B13" s="25"/>
      <c r="C13" s="25"/>
      <c r="D13" s="26"/>
    </row>
    <row r="14" spans="1:4">
      <c r="A14" s="3" t="s">
        <v>151</v>
      </c>
      <c r="B14" s="25">
        <f>B10/B12</f>
        <v>39093.27735023389</v>
      </c>
      <c r="C14" s="25">
        <f>C10/C12</f>
        <v>16807.885417480276</v>
      </c>
      <c r="D14" s="26">
        <f>C14/B14-1</f>
        <v>-0.57005688556373446</v>
      </c>
    </row>
    <row r="19" spans="1:4" s="23" customFormat="1" ht="15.75">
      <c r="A19" s="23" t="s">
        <v>276</v>
      </c>
    </row>
    <row r="20" spans="1:4">
      <c r="A20" s="3" t="s">
        <v>266</v>
      </c>
    </row>
    <row r="22" spans="1:4">
      <c r="A22" s="3" t="s">
        <v>506</v>
      </c>
    </row>
    <row r="24" spans="1:4">
      <c r="A24" s="24"/>
      <c r="B24" s="24" t="s">
        <v>467</v>
      </c>
      <c r="C24" s="24" t="s">
        <v>481</v>
      </c>
      <c r="D24" s="24" t="s">
        <v>152</v>
      </c>
    </row>
    <row r="25" spans="1:4">
      <c r="D25" s="3" t="s">
        <v>55</v>
      </c>
    </row>
    <row r="26" spans="1:4">
      <c r="A26" s="3" t="s">
        <v>101</v>
      </c>
      <c r="B26" s="25">
        <f>SUM(B28:B38)</f>
        <v>518142298.42999995</v>
      </c>
      <c r="C26" s="25">
        <f>SUM(C28:C38)</f>
        <v>215191357.40000001</v>
      </c>
      <c r="D26" s="26">
        <f>C26/B26-1</f>
        <v>-0.58468675873009823</v>
      </c>
    </row>
    <row r="27" spans="1:4">
      <c r="B27" s="25"/>
      <c r="C27" s="25"/>
      <c r="D27" s="26"/>
    </row>
    <row r="28" spans="1:4">
      <c r="A28" s="3" t="s">
        <v>154</v>
      </c>
      <c r="B28" s="25">
        <v>11546408.880000001</v>
      </c>
      <c r="C28" s="25">
        <v>8469823.3000000007</v>
      </c>
      <c r="D28" s="26">
        <f>C28/B28-1</f>
        <v>-0.26645389159300237</v>
      </c>
    </row>
    <row r="29" spans="1:4">
      <c r="A29" s="3" t="s">
        <v>155</v>
      </c>
      <c r="B29" s="25">
        <v>23237336.899999999</v>
      </c>
      <c r="C29" s="25">
        <v>14571834.18</v>
      </c>
      <c r="D29" s="26">
        <f t="shared" ref="D29:D38" si="0">C29/B29-1</f>
        <v>-0.37291290121976062</v>
      </c>
    </row>
    <row r="30" spans="1:4">
      <c r="A30" s="3" t="s">
        <v>156</v>
      </c>
      <c r="B30" s="25">
        <v>1455362.35</v>
      </c>
      <c r="C30" s="25">
        <v>1702048</v>
      </c>
      <c r="D30" s="26">
        <f t="shared" si="0"/>
        <v>0.16950118985831941</v>
      </c>
    </row>
    <row r="31" spans="1:4">
      <c r="A31" s="3" t="s">
        <v>157</v>
      </c>
      <c r="B31" s="25">
        <v>397967327.31</v>
      </c>
      <c r="C31" s="25">
        <v>87579545.480000004</v>
      </c>
      <c r="D31" s="26">
        <f t="shared" si="0"/>
        <v>-0.77993282495831828</v>
      </c>
    </row>
    <row r="32" spans="1:4">
      <c r="A32" s="3" t="s">
        <v>158</v>
      </c>
      <c r="B32" s="25">
        <v>55027557.710000001</v>
      </c>
      <c r="C32" s="25">
        <v>72957851.5</v>
      </c>
      <c r="D32" s="26">
        <f t="shared" si="0"/>
        <v>0.32584207869980708</v>
      </c>
    </row>
    <row r="33" spans="1:5">
      <c r="A33" s="3" t="s">
        <v>159</v>
      </c>
      <c r="B33" s="25">
        <v>162010.82</v>
      </c>
      <c r="C33" s="25">
        <v>173365</v>
      </c>
      <c r="D33" s="26">
        <f t="shared" si="0"/>
        <v>7.0082850021992327E-2</v>
      </c>
    </row>
    <row r="34" spans="1:5">
      <c r="A34" s="3" t="s">
        <v>160</v>
      </c>
      <c r="B34" s="25">
        <v>5066785.01</v>
      </c>
      <c r="C34" s="25">
        <v>4693275.5599999996</v>
      </c>
      <c r="D34" s="26">
        <f t="shared" si="0"/>
        <v>-7.3717248563502813E-2</v>
      </c>
    </row>
    <row r="35" spans="1:5">
      <c r="A35" s="3" t="s">
        <v>161</v>
      </c>
      <c r="B35" s="25">
        <v>6587740.9000000004</v>
      </c>
      <c r="C35" s="25">
        <v>6800300.7400000002</v>
      </c>
      <c r="D35" s="26">
        <f t="shared" si="0"/>
        <v>3.2265968444508797E-2</v>
      </c>
    </row>
    <row r="36" spans="1:5">
      <c r="A36" s="3" t="s">
        <v>162</v>
      </c>
      <c r="B36" s="25">
        <v>6321393.2000000002</v>
      </c>
      <c r="C36" s="25">
        <v>5956576</v>
      </c>
      <c r="D36" s="26">
        <f t="shared" si="0"/>
        <v>-5.7711518403886108E-2</v>
      </c>
    </row>
    <row r="37" spans="1:5">
      <c r="A37" s="3" t="s">
        <v>163</v>
      </c>
      <c r="B37" s="25">
        <v>232705</v>
      </c>
      <c r="C37" s="25">
        <v>245518.64</v>
      </c>
      <c r="D37" s="26">
        <f t="shared" si="0"/>
        <v>5.5063879160310414E-2</v>
      </c>
    </row>
    <row r="38" spans="1:5">
      <c r="A38" s="3" t="s">
        <v>164</v>
      </c>
      <c r="B38" s="25">
        <v>10537670.35</v>
      </c>
      <c r="C38" s="25">
        <v>12041219</v>
      </c>
      <c r="D38" s="26">
        <f t="shared" si="0"/>
        <v>0.142683211759419</v>
      </c>
    </row>
    <row r="40" spans="1:5">
      <c r="A40" s="4" t="s">
        <v>306</v>
      </c>
    </row>
    <row r="41" spans="1:5" ht="39.75" customHeight="1">
      <c r="A41" s="21" t="s">
        <v>471</v>
      </c>
      <c r="B41" s="21"/>
      <c r="C41" s="21"/>
      <c r="D41" s="21"/>
      <c r="E41" s="28"/>
    </row>
    <row r="42" spans="1:5" ht="40.5" customHeight="1">
      <c r="A42" s="21" t="s">
        <v>488</v>
      </c>
      <c r="B42" s="21"/>
      <c r="C42" s="21"/>
      <c r="D42" s="21"/>
    </row>
    <row r="43" spans="1:5" ht="26.25" customHeight="1">
      <c r="A43" s="21" t="s">
        <v>377</v>
      </c>
      <c r="B43" s="21"/>
      <c r="C43" s="21"/>
      <c r="D43" s="21"/>
    </row>
    <row r="44" spans="1:5" ht="26.25" customHeight="1">
      <c r="A44" s="21" t="s">
        <v>369</v>
      </c>
      <c r="B44" s="21"/>
      <c r="C44" s="21"/>
      <c r="D44" s="21"/>
    </row>
    <row r="46" spans="1:5">
      <c r="A46" s="4" t="s">
        <v>143</v>
      </c>
    </row>
    <row r="47" spans="1:5">
      <c r="A47" s="3" t="s">
        <v>153</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mergeCells count="4">
    <mergeCell ref="A42:D42"/>
    <mergeCell ref="A43:D43"/>
    <mergeCell ref="A44:D44"/>
    <mergeCell ref="A41:D41"/>
  </mergeCells>
  <phoneticPr fontId="2" type="noConversion"/>
  <hyperlinks>
    <hyperlink ref="A4" location="Inhalt!A1" display="&lt;&lt;&lt; Inhalt" xr:uid="{61DF0F89-BBB4-4134-98ED-4B2E630B3039}"/>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45</vt:i4>
      </vt:variant>
    </vt:vector>
  </HeadingPairs>
  <TitlesOfParts>
    <vt:vector size="45" baseType="lpstr">
      <vt:lpstr>Metadaten</vt:lpstr>
      <vt:lpstr>Inhalt</vt:lpstr>
      <vt:lpstr>Kennzahlen</vt:lpstr>
      <vt:lpstr>1</vt:lpstr>
      <vt:lpstr>Steuerarten</vt:lpstr>
      <vt:lpstr>2.1.1</vt:lpstr>
      <vt:lpstr>2.1.3</vt:lpstr>
      <vt:lpstr>2.2.1</vt:lpstr>
      <vt:lpstr>2.2.3</vt:lpstr>
      <vt:lpstr>2.2.5</vt:lpstr>
      <vt:lpstr>2.2.6</vt:lpstr>
      <vt:lpstr>2.2.7</vt:lpstr>
      <vt:lpstr>2.4.1</vt:lpstr>
      <vt:lpstr>2.4.3</vt:lpstr>
      <vt:lpstr>2.5.1</vt:lpstr>
      <vt:lpstr>2.6.1</vt:lpstr>
      <vt:lpstr>2.9.1</vt:lpstr>
      <vt:lpstr>2.9.3</vt:lpstr>
      <vt:lpstr>2.10.1</vt:lpstr>
      <vt:lpstr>2.11.1</vt:lpstr>
      <vt:lpstr>2.11.3</vt:lpstr>
      <vt:lpstr>2.13.1</vt:lpstr>
      <vt:lpstr>2.14.1</vt:lpstr>
      <vt:lpstr>Struktur</vt:lpstr>
      <vt:lpstr>3.1.1</vt:lpstr>
      <vt:lpstr>3.2.1</vt:lpstr>
      <vt:lpstr>3.2.3</vt:lpstr>
      <vt:lpstr>3.2.3 E</vt:lpstr>
      <vt:lpstr>3.3.1</vt:lpstr>
      <vt:lpstr>3.3.1 E</vt:lpstr>
      <vt:lpstr>Steuerbelastung NP</vt:lpstr>
      <vt:lpstr>4.1</vt:lpstr>
      <vt:lpstr>4.2</vt:lpstr>
      <vt:lpstr>4.3</vt:lpstr>
      <vt:lpstr>4.4</vt:lpstr>
      <vt:lpstr>Steuerbelastung JP</vt:lpstr>
      <vt:lpstr>5.1</vt:lpstr>
      <vt:lpstr>5.2</vt:lpstr>
      <vt:lpstr>Zeitreihen</vt:lpstr>
      <vt:lpstr>7.1</vt:lpstr>
      <vt:lpstr>7.2</vt:lpstr>
      <vt:lpstr>7.3</vt:lpstr>
      <vt:lpstr>7.4</vt:lpstr>
      <vt:lpstr>7.5</vt:lpstr>
      <vt:lpstr>7.6</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Landesverwaltung FL</dc:creator>
  <cp:lastModifiedBy>Gstöhl Simon</cp:lastModifiedBy>
  <cp:lastPrinted>2021-08-20T08:13:31Z</cp:lastPrinted>
  <dcterms:created xsi:type="dcterms:W3CDTF">2004-05-04T13:41:34Z</dcterms:created>
  <dcterms:modified xsi:type="dcterms:W3CDTF">2022-04-08T14:22:59Z</dcterms:modified>
</cp:coreProperties>
</file>